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0" yWindow="460" windowWidth="25680" windowHeight="21920"/>
  </bookViews>
  <sheets>
    <sheet name="Cover page" sheetId="2" r:id="rId1"/>
    <sheet name="Craspedacusta_Table_S1" sheetId="1" r:id="rId2"/>
  </sheets>
  <calcPr calcId="191029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3" i="1" l="1"/>
  <c r="P83" i="1"/>
  <c r="O83" i="1"/>
  <c r="N83" i="1"/>
  <c r="M83" i="1"/>
  <c r="L83" i="1"/>
  <c r="K83" i="1"/>
  <c r="H118" i="1"/>
  <c r="G118" i="1"/>
  <c r="L116" i="1"/>
  <c r="H116" i="1"/>
  <c r="Q114" i="1"/>
  <c r="P114" i="1"/>
  <c r="L114" i="1"/>
  <c r="H112" i="1"/>
  <c r="H108" i="1"/>
  <c r="H106" i="1"/>
  <c r="G106" i="1"/>
  <c r="L104" i="1"/>
  <c r="K104" i="1"/>
  <c r="H104" i="1"/>
  <c r="G104" i="1"/>
  <c r="L103" i="1"/>
  <c r="H101" i="1"/>
  <c r="Q100" i="1"/>
  <c r="P100" i="1"/>
  <c r="N100" i="1"/>
  <c r="M100" i="1"/>
  <c r="L100" i="1"/>
  <c r="K91" i="1"/>
  <c r="P90" i="1"/>
  <c r="K90" i="1"/>
  <c r="I89" i="1"/>
  <c r="G89" i="1"/>
  <c r="K88" i="1"/>
  <c r="L86" i="1"/>
  <c r="H84" i="1"/>
  <c r="Q82" i="1"/>
  <c r="P82" i="1"/>
  <c r="L82" i="1"/>
  <c r="H81" i="1"/>
  <c r="P79" i="1"/>
  <c r="N79" i="1"/>
  <c r="P77" i="1"/>
  <c r="K77" i="1"/>
  <c r="L71" i="1"/>
  <c r="P70" i="1"/>
  <c r="O69" i="1"/>
  <c r="N69" i="1"/>
  <c r="H69" i="1"/>
  <c r="M66" i="1"/>
  <c r="L66" i="1"/>
  <c r="K66" i="1"/>
  <c r="H66" i="1"/>
  <c r="P65" i="1"/>
  <c r="K65" i="1"/>
  <c r="H63" i="1"/>
  <c r="H62" i="1"/>
  <c r="Q61" i="1"/>
  <c r="P61" i="1"/>
  <c r="N61" i="1"/>
  <c r="K61" i="1"/>
  <c r="L58" i="1"/>
  <c r="H58" i="1"/>
  <c r="H56" i="1"/>
  <c r="Q55" i="1"/>
  <c r="P55" i="1"/>
  <c r="O55" i="1"/>
  <c r="M55" i="1"/>
  <c r="L55" i="1"/>
  <c r="H55" i="1"/>
  <c r="H54" i="1"/>
  <c r="H45" i="1"/>
  <c r="H43" i="1"/>
  <c r="H38" i="1"/>
  <c r="H37" i="1"/>
  <c r="Q36" i="1"/>
  <c r="M29" i="1"/>
  <c r="H29" i="1"/>
  <c r="M28" i="1"/>
  <c r="H28" i="1"/>
  <c r="M27" i="1"/>
  <c r="H27" i="1"/>
  <c r="H21" i="1"/>
  <c r="H20" i="1"/>
  <c r="H11" i="1"/>
  <c r="H10" i="1"/>
  <c r="Q5" i="1"/>
  <c r="P5" i="1"/>
  <c r="M5" i="1"/>
  <c r="L5" i="1"/>
  <c r="L4" i="1"/>
  <c r="H4" i="1"/>
  <c r="L2" i="1"/>
  <c r="H2" i="1"/>
</calcChain>
</file>

<file path=xl/sharedStrings.xml><?xml version="1.0" encoding="utf-8"?>
<sst xmlns="http://schemas.openxmlformats.org/spreadsheetml/2006/main" count="773" uniqueCount="394">
  <si>
    <t>Location</t>
  </si>
  <si>
    <t>Depth</t>
  </si>
  <si>
    <t>Diameter (mm)</t>
  </si>
  <si>
    <t>No</t>
  </si>
  <si>
    <t>Country</t>
  </si>
  <si>
    <t>Italy</t>
  </si>
  <si>
    <t>Temperature (°C)</t>
  </si>
  <si>
    <t>Chlorophyll a (µg/L)</t>
  </si>
  <si>
    <t>Reference</t>
  </si>
  <si>
    <t>15-20</t>
  </si>
  <si>
    <t>Large Lake of Monticolo</t>
  </si>
  <si>
    <t>Month</t>
  </si>
  <si>
    <t>Year</t>
  </si>
  <si>
    <t>Minchin et al. 2016</t>
  </si>
  <si>
    <t>Sex</t>
  </si>
  <si>
    <t>Lough Derg</t>
  </si>
  <si>
    <t>Ireland</t>
  </si>
  <si>
    <t>13-22</t>
  </si>
  <si>
    <t>&lt; 4</t>
  </si>
  <si>
    <t>22-27.5</t>
  </si>
  <si>
    <t>Aug-Sep</t>
  </si>
  <si>
    <t>Aug</t>
  </si>
  <si>
    <t>USA</t>
  </si>
  <si>
    <t>5-28</t>
  </si>
  <si>
    <t>Mean Diameter</t>
  </si>
  <si>
    <t>Germany</t>
  </si>
  <si>
    <t>&lt; 3</t>
  </si>
  <si>
    <t>Lake near Ulm</t>
  </si>
  <si>
    <t>Aug-Oct</t>
  </si>
  <si>
    <t>8-80 per sampling</t>
  </si>
  <si>
    <t>1-100s</t>
  </si>
  <si>
    <t>22-23</t>
  </si>
  <si>
    <t>Mean Temperature</t>
  </si>
  <si>
    <t>Karaouzas et al. 2015</t>
  </si>
  <si>
    <t>Lake Marathon</t>
  </si>
  <si>
    <t>Greece</t>
  </si>
  <si>
    <t>Congro Lake</t>
  </si>
  <si>
    <t>Azores</t>
  </si>
  <si>
    <t>Raposeiro et al. 2011</t>
  </si>
  <si>
    <t>Turkey</t>
  </si>
  <si>
    <t>Kralkõzõ Dam Lake</t>
  </si>
  <si>
    <t>Bekleyen et al. 2011</t>
  </si>
  <si>
    <t>Jul</t>
  </si>
  <si>
    <t>Lake Malpaga</t>
  </si>
  <si>
    <t>11-16</t>
  </si>
  <si>
    <t>many</t>
  </si>
  <si>
    <t>Stefani et al. 2010</t>
  </si>
  <si>
    <t>Lithuania</t>
  </si>
  <si>
    <t>Pit close to Nemunas River</t>
  </si>
  <si>
    <t>&lt; 5</t>
  </si>
  <si>
    <t>South Korea</t>
  </si>
  <si>
    <t>Taechong Dam Reservoir</t>
  </si>
  <si>
    <t>Sep</t>
  </si>
  <si>
    <t>Park 1998</t>
  </si>
  <si>
    <t>11-12</t>
  </si>
  <si>
    <t>Brazil</t>
  </si>
  <si>
    <t>Apr</t>
  </si>
  <si>
    <t>DO (mg/L)</t>
  </si>
  <si>
    <t>surface</t>
  </si>
  <si>
    <t>7.8 +- 0.8</t>
  </si>
  <si>
    <t>Lagoa Misteriosa</t>
  </si>
  <si>
    <t>pH</t>
  </si>
  <si>
    <t>Portugal</t>
  </si>
  <si>
    <t>Oct</t>
  </si>
  <si>
    <t>Sado Hydrographic Basin</t>
  </si>
  <si>
    <t>7.29 +- 0.13</t>
  </si>
  <si>
    <t>Mexico</t>
  </si>
  <si>
    <t>Adolfo Lopez Mateos Reservoir</t>
  </si>
  <si>
    <t>&lt; 1</t>
  </si>
  <si>
    <t>10-19</t>
  </si>
  <si>
    <t>Lake Midmar</t>
  </si>
  <si>
    <t>South Africa</t>
  </si>
  <si>
    <t>Feb</t>
  </si>
  <si>
    <t>3-8</t>
  </si>
  <si>
    <t>25-27</t>
  </si>
  <si>
    <t>Rayner 1988</t>
  </si>
  <si>
    <t>Kosovo</t>
  </si>
  <si>
    <t>Gazivode Lake</t>
  </si>
  <si>
    <t>Jaksic et al. 2017</t>
  </si>
  <si>
    <t>13-20</t>
  </si>
  <si>
    <t>Baghdad Tourist Island Lake</t>
  </si>
  <si>
    <t>Iraq</t>
  </si>
  <si>
    <t>Akber Saadalla 2006</t>
  </si>
  <si>
    <t>Jun-Sep</t>
  </si>
  <si>
    <t>29.7-32.0</t>
  </si>
  <si>
    <t>6-15</t>
  </si>
  <si>
    <t>Santa Elena Lake</t>
  </si>
  <si>
    <t>Chile</t>
  </si>
  <si>
    <t>Fraire-Pacheco et al. 2017</t>
  </si>
  <si>
    <t>Lagoa Azul</t>
  </si>
  <si>
    <t>Israel</t>
  </si>
  <si>
    <t>Lake Kinneret</t>
  </si>
  <si>
    <t>30-50</t>
  </si>
  <si>
    <t>15.9-16.1</t>
  </si>
  <si>
    <t>Schifani et al. 2019</t>
  </si>
  <si>
    <t>Nov</t>
  </si>
  <si>
    <t>University of Palermo Reservoir</t>
  </si>
  <si>
    <t>UK</t>
  </si>
  <si>
    <t>24.1-24.9</t>
  </si>
  <si>
    <t>&lt; 20</t>
  </si>
  <si>
    <t>Green 1998</t>
  </si>
  <si>
    <t>India</t>
  </si>
  <si>
    <t>Chemeenchal Pond</t>
  </si>
  <si>
    <t>May</t>
  </si>
  <si>
    <t>Laguna Illahuapi</t>
  </si>
  <si>
    <t>7-21</t>
  </si>
  <si>
    <t>Pérez-Bote et al. 2006</t>
  </si>
  <si>
    <t>Spain</t>
  </si>
  <si>
    <t>Proserpina Reservoir</t>
  </si>
  <si>
    <t>14-17</t>
  </si>
  <si>
    <t>Gasith et al. 2011</t>
  </si>
  <si>
    <t>&lt; 3.5</t>
  </si>
  <si>
    <t>Caputo Galarce et al. 2013</t>
  </si>
  <si>
    <t>Albert Falls Lake</t>
  </si>
  <si>
    <t>3-5</t>
  </si>
  <si>
    <t>Jan</t>
  </si>
  <si>
    <t>New Zealand</t>
  </si>
  <si>
    <t>Lake Kainui</t>
  </si>
  <si>
    <t>Boothroyd et al. 2002</t>
  </si>
  <si>
    <t>Lake Alma</t>
  </si>
  <si>
    <t>6.3-25.4</t>
  </si>
  <si>
    <t>23.9-26.1</t>
  </si>
  <si>
    <t>Dexter et al. 1949</t>
  </si>
  <si>
    <t>Lake Wallenpaupack</t>
  </si>
  <si>
    <t>Bulgaria</t>
  </si>
  <si>
    <t>Drenovets Reservoir</t>
  </si>
  <si>
    <t>Iskar Reservoir</t>
  </si>
  <si>
    <t>Studen Kladenets Reservoir</t>
  </si>
  <si>
    <t>Kozuharov et al. 2017</t>
  </si>
  <si>
    <t>Apr-Oct</t>
  </si>
  <si>
    <t>1-3</t>
  </si>
  <si>
    <t>15-17</t>
  </si>
  <si>
    <t>Uruguay</t>
  </si>
  <si>
    <t>Failla Siquier et al. 2017</t>
  </si>
  <si>
    <t>Caputo et al. 2018</t>
  </si>
  <si>
    <t>Lake Illahuapi</t>
  </si>
  <si>
    <t>Lake Verde</t>
  </si>
  <si>
    <t>Lake Ranco</t>
  </si>
  <si>
    <t>Mar-Apr</t>
  </si>
  <si>
    <t>4-20</t>
  </si>
  <si>
    <t>20.3-20.4</t>
  </si>
  <si>
    <t>20.8-21.2</t>
  </si>
  <si>
    <t>&lt; 2.2</t>
  </si>
  <si>
    <t>Lake Martin</t>
  </si>
  <si>
    <t>Weiss Lake</t>
  </si>
  <si>
    <t>DeVries 1992</t>
  </si>
  <si>
    <t>Akçaalan et al. 2011</t>
  </si>
  <si>
    <t>Sapanca Lake</t>
  </si>
  <si>
    <t>4-11.6</t>
  </si>
  <si>
    <t>24.3 +- 1.5</t>
  </si>
  <si>
    <t>23.0-25.5</t>
  </si>
  <si>
    <t>Lake Maraetai</t>
  </si>
  <si>
    <t>13-15</t>
  </si>
  <si>
    <t>Fish 1971</t>
  </si>
  <si>
    <t>Kloster granite quarry</t>
  </si>
  <si>
    <t>Karisch 2019</t>
  </si>
  <si>
    <t>0.5-1.5</t>
  </si>
  <si>
    <t>Kimmel et al. 1980</t>
  </si>
  <si>
    <t>8.1-11.5</t>
  </si>
  <si>
    <t>Savaris et al. 2013</t>
  </si>
  <si>
    <t>Artificial Lake in Rio Grande do Sul</t>
  </si>
  <si>
    <t>Schwarzbold et al. 2010</t>
  </si>
  <si>
    <t>14 deJulho Reservoir</t>
  </si>
  <si>
    <t>5-13</t>
  </si>
  <si>
    <t>Mar-Jun</t>
  </si>
  <si>
    <t>13.0-23.5</t>
  </si>
  <si>
    <t>Thomas 1951</t>
  </si>
  <si>
    <t>Australia</t>
  </si>
  <si>
    <t>Thorndon Park Reservoir</t>
  </si>
  <si>
    <t>Jul-Aug</t>
  </si>
  <si>
    <t>Grohs 1998</t>
  </si>
  <si>
    <t>Austria</t>
  </si>
  <si>
    <t>Danube and tributaries</t>
  </si>
  <si>
    <t>19.6+23.6</t>
  </si>
  <si>
    <t>&gt; 100</t>
  </si>
  <si>
    <t>Russia</t>
  </si>
  <si>
    <t>Pond near nuclear power station</t>
  </si>
  <si>
    <t>Jun</t>
  </si>
  <si>
    <t>0.1-0.5</t>
  </si>
  <si>
    <t>Anufriev et al. 1999</t>
  </si>
  <si>
    <t>1-2</t>
  </si>
  <si>
    <t>Broom Water</t>
  </si>
  <si>
    <t>Broken Bow Reservoir</t>
  </si>
  <si>
    <t>Fuentes et al. 2019</t>
  </si>
  <si>
    <t>2014-2016</t>
  </si>
  <si>
    <t>Spicer Lake</t>
  </si>
  <si>
    <t>Litton Jr. 1983</t>
  </si>
  <si>
    <t>Jun-Jul</t>
  </si>
  <si>
    <t>20-24</t>
  </si>
  <si>
    <t>Argentina</t>
  </si>
  <si>
    <t>Río III reservoir</t>
  </si>
  <si>
    <t>7-16</t>
  </si>
  <si>
    <t>22-24</t>
  </si>
  <si>
    <t>Lanalhue Lake</t>
  </si>
  <si>
    <t>San Pedro Lake</t>
  </si>
  <si>
    <t>Rapel Lake</t>
  </si>
  <si>
    <t>Peñuelas Lake</t>
  </si>
  <si>
    <t>Espejo Lake</t>
  </si>
  <si>
    <t>Ancapulli Lake</t>
  </si>
  <si>
    <t>San Pedro Lake 2</t>
  </si>
  <si>
    <t>Illahuapi Lake</t>
  </si>
  <si>
    <t>Lleu Lleu Lake</t>
  </si>
  <si>
    <t>Hemisphere</t>
  </si>
  <si>
    <t>S</t>
  </si>
  <si>
    <t>N</t>
  </si>
  <si>
    <t>Jan, Mar</t>
  </si>
  <si>
    <t>Lucas et al. 2013</t>
  </si>
  <si>
    <t>13.5 +- 05</t>
  </si>
  <si>
    <t>Little Grassy Lake</t>
  </si>
  <si>
    <t>about 50</t>
  </si>
  <si>
    <t>Burt Lake</t>
  </si>
  <si>
    <t>Smrchek 1970</t>
  </si>
  <si>
    <t>Iran</t>
  </si>
  <si>
    <t>Chitgar Lake</t>
  </si>
  <si>
    <t>Bagheri et al. 2017</t>
  </si>
  <si>
    <t>Little Lake Elbert</t>
  </si>
  <si>
    <t>7-10</t>
  </si>
  <si>
    <t>Byers 1944</t>
  </si>
  <si>
    <t>2 dozen</t>
  </si>
  <si>
    <t>Dean 1962</t>
  </si>
  <si>
    <t>Salt Creek</t>
  </si>
  <si>
    <t>3, 3, 5</t>
  </si>
  <si>
    <t>Grisak 2010</t>
  </si>
  <si>
    <t>Missouri River reservoirs</t>
  </si>
  <si>
    <t>17-34</t>
  </si>
  <si>
    <t>Stockton and Pomme de Terre Reservoirs</t>
  </si>
  <si>
    <t>Mabee 1997</t>
  </si>
  <si>
    <t>26+27</t>
  </si>
  <si>
    <t>Japan</t>
  </si>
  <si>
    <t>Itamiike</t>
  </si>
  <si>
    <t>Jul-Oct</t>
  </si>
  <si>
    <t>Okuda 1957</t>
  </si>
  <si>
    <t>Tranque Marga-Marga</t>
  </si>
  <si>
    <t>5-10</t>
  </si>
  <si>
    <t>Mar</t>
  </si>
  <si>
    <t>Fuchun River</t>
  </si>
  <si>
    <t>China</t>
  </si>
  <si>
    <t>Aug-Nov</t>
  </si>
  <si>
    <t>1990-1991</t>
  </si>
  <si>
    <t>6-24</t>
  </si>
  <si>
    <t>Mildner 1984</t>
  </si>
  <si>
    <t>Leonharder Lake</t>
  </si>
  <si>
    <t>Wieser 1993</t>
  </si>
  <si>
    <t>Weizelsdorfer Baggersee</t>
  </si>
  <si>
    <t>South Spectacle Lake</t>
  </si>
  <si>
    <t>0.6-1.3</t>
  </si>
  <si>
    <t>Horseshoe Lake</t>
  </si>
  <si>
    <t>Canada</t>
  </si>
  <si>
    <t>1-20</t>
  </si>
  <si>
    <t>Lake Nipissing</t>
  </si>
  <si>
    <t>0-0.6</t>
  </si>
  <si>
    <t>Lake Huron</t>
  </si>
  <si>
    <t>0-2</t>
  </si>
  <si>
    <t>12-16</t>
  </si>
  <si>
    <t>Wiggins et al. 1957</t>
  </si>
  <si>
    <t>Topcam Reservoir</t>
  </si>
  <si>
    <t>Balik et al. 2001</t>
  </si>
  <si>
    <t>1999-2000</t>
  </si>
  <si>
    <t>21, 26</t>
  </si>
  <si>
    <t>France</t>
  </si>
  <si>
    <t>12</t>
  </si>
  <si>
    <t>Avignon Lake</t>
  </si>
  <si>
    <t>Stallworth Lake</t>
  </si>
  <si>
    <t>Sep-Oct</t>
  </si>
  <si>
    <t>White 1930</t>
  </si>
  <si>
    <t>26.72, 25.00</t>
  </si>
  <si>
    <t>Hungary</t>
  </si>
  <si>
    <t>Abonyi et al. 2008</t>
  </si>
  <si>
    <t>Bailly et al. 1987</t>
  </si>
  <si>
    <t>Lake Abda</t>
  </si>
  <si>
    <t>Lake Gyorújfalu</t>
  </si>
  <si>
    <t>Lake Farkasgyepu</t>
  </si>
  <si>
    <t>Crystal Lake</t>
  </si>
  <si>
    <t>Milne 1938</t>
  </si>
  <si>
    <t>Secchi depth (m)</t>
  </si>
  <si>
    <t>F</t>
  </si>
  <si>
    <t>F+M</t>
  </si>
  <si>
    <t>M</t>
  </si>
  <si>
    <t>I</t>
  </si>
  <si>
    <t>Illinois River headwater reach</t>
  </si>
  <si>
    <t>Brussock et al. 1985</t>
  </si>
  <si>
    <t>Czech Republic</t>
  </si>
  <si>
    <t>Moldau River</t>
  </si>
  <si>
    <t>Dejdar 1932</t>
  </si>
  <si>
    <t>Reilinger Baggersee</t>
  </si>
  <si>
    <t>Ludwig et al. 1979</t>
  </si>
  <si>
    <t>16-26</t>
  </si>
  <si>
    <t>Belarus</t>
  </si>
  <si>
    <t>Brest rowing canal</t>
  </si>
  <si>
    <t>Steinbruchsee Winkel</t>
  </si>
  <si>
    <t>0-6</t>
  </si>
  <si>
    <t>2005-2008</t>
  </si>
  <si>
    <t>May-Oct</t>
  </si>
  <si>
    <t>Peukert 2009</t>
  </si>
  <si>
    <t>Laguna del Medio</t>
  </si>
  <si>
    <t>2011/2012</t>
  </si>
  <si>
    <t>Jan-May</t>
  </si>
  <si>
    <t>Dez-Mar</t>
  </si>
  <si>
    <t>&lt; 2</t>
  </si>
  <si>
    <t>West Lake</t>
  </si>
  <si>
    <t>Tomita 1942</t>
  </si>
  <si>
    <t>Columbia quarry pond</t>
  </si>
  <si>
    <t>Hazelwood et al. 1970</t>
  </si>
  <si>
    <t>Conductivity at 20 °C (µS/cm)</t>
  </si>
  <si>
    <t>Uzunçayır dam Lake</t>
  </si>
  <si>
    <t>Kutlu 2020</t>
  </si>
  <si>
    <t>5-15</t>
  </si>
  <si>
    <t>Morocco</t>
  </si>
  <si>
    <t>Bin El Quidan reservoir</t>
  </si>
  <si>
    <t>Oualid et al. 2019</t>
  </si>
  <si>
    <t>Dec</t>
  </si>
  <si>
    <t>1-5</t>
  </si>
  <si>
    <t>19-21</t>
  </si>
  <si>
    <t>Dukan Lake</t>
  </si>
  <si>
    <t>Lake Annecy</t>
  </si>
  <si>
    <t>1989, 1990</t>
  </si>
  <si>
    <t>12-18</t>
  </si>
  <si>
    <t>Balvay 1990</t>
  </si>
  <si>
    <t>Durrance Lake</t>
  </si>
  <si>
    <t>Corry 1994</t>
  </si>
  <si>
    <t>Glen Lake</t>
  </si>
  <si>
    <t>Kunnanpara Lake</t>
  </si>
  <si>
    <t>Bedwellty Pits Colliery reservoir</t>
  </si>
  <si>
    <t>Tattersall 1933</t>
  </si>
  <si>
    <t>Kentucky Lake</t>
  </si>
  <si>
    <t>15-18</t>
  </si>
  <si>
    <t>Benson Creek</t>
  </si>
  <si>
    <t>several hundred</t>
  </si>
  <si>
    <t>14-15</t>
  </si>
  <si>
    <t>Garman 1916</t>
  </si>
  <si>
    <t>Kentucky River</t>
  </si>
  <si>
    <t>Payne 1926</t>
  </si>
  <si>
    <t>Big Trees pond</t>
  </si>
  <si>
    <t>Arnold 1951</t>
  </si>
  <si>
    <t>Saratovka River (Volgograd water reservoir)</t>
  </si>
  <si>
    <t>21-22</t>
  </si>
  <si>
    <t>Thomas 1950</t>
  </si>
  <si>
    <t>Exeter Ship Canal</t>
  </si>
  <si>
    <t>Jul-Sep</t>
  </si>
  <si>
    <t>Vallentin 1930</t>
  </si>
  <si>
    <t>Garnet Lake</t>
  </si>
  <si>
    <t>van Auken 1940</t>
  </si>
  <si>
    <t>Venezuela</t>
  </si>
  <si>
    <t>Lagartijo Reservoir</t>
  </si>
  <si>
    <t>Boltovskoy &amp; Battistoni 1981</t>
  </si>
  <si>
    <t>Semenchenko &amp; Rizevskiy 2017</t>
  </si>
  <si>
    <t>Magalhães Souza &amp; Kiner Ladeira 2011</t>
  </si>
  <si>
    <t>Silva &amp; Roche 2007</t>
  </si>
  <si>
    <t>Porter &amp; Schmitt 1942</t>
  </si>
  <si>
    <t>Youqin &amp; Huantang 1992</t>
  </si>
  <si>
    <t>Spadinger &amp; Maier 1999</t>
  </si>
  <si>
    <t>Sarkar &amp; Mude 2010</t>
  </si>
  <si>
    <t>Dhalir &amp; Ali 2017</t>
  </si>
  <si>
    <t>Gophen &amp; Shealtiel 2012</t>
  </si>
  <si>
    <t>Morpurgo &amp; Alber 2015</t>
  </si>
  <si>
    <t>Arbačiauskas &amp; Lesutiene 2004</t>
  </si>
  <si>
    <t>Moreno-Leon &amp; Ortega-Rubio 2009</t>
  </si>
  <si>
    <t>Gomes-Pereira &amp; Dionísio 2013</t>
  </si>
  <si>
    <t>Sonina &amp; Malinina 2009</t>
  </si>
  <si>
    <t>Rayner &amp; Appleton 1989</t>
  </si>
  <si>
    <t>Chadwick &amp; Houston 1953</t>
  </si>
  <si>
    <t>Lipsey Jr. &amp; Chimney 1978</t>
  </si>
  <si>
    <t>Ziser &amp; Burke 1984</t>
  </si>
  <si>
    <t>Gonzáles de Infante &amp; Infante 1994</t>
  </si>
  <si>
    <t>Sietearroyos River</t>
  </si>
  <si>
    <t>Medina-Gavilán &amp; González-Duarte 2018</t>
  </si>
  <si>
    <t>Címer fishpond</t>
  </si>
  <si>
    <t>Stráz nad Nezárkou sandpit</t>
  </si>
  <si>
    <t>Havlícek 2016</t>
  </si>
  <si>
    <t>Comment</t>
  </si>
  <si>
    <t>pers. comm., data</t>
  </si>
  <si>
    <t>Riyas &amp; Biju Kumar 2017</t>
  </si>
  <si>
    <t>Kaiser Pond</t>
  </si>
  <si>
    <t>Jul-Nov</t>
  </si>
  <si>
    <t>21.0-33.0</t>
  </si>
  <si>
    <t>Harrel (2002)</t>
  </si>
  <si>
    <t>Ürkmez Reservoir</t>
  </si>
  <si>
    <t>Özbek &amp; Sömek 2020</t>
  </si>
  <si>
    <t>Lake Quassapaug</t>
  </si>
  <si>
    <t>&lt; 6</t>
  </si>
  <si>
    <t>about 80</t>
  </si>
  <si>
    <t>Deevey Jr. and Brooks 1943</t>
  </si>
  <si>
    <t>Pond near East Baton Rough Parish</t>
  </si>
  <si>
    <t>Nacogdoches Reservoir</t>
  </si>
  <si>
    <t>29+30</t>
  </si>
  <si>
    <t>McCullough et al. 1981</t>
  </si>
  <si>
    <t>Stonewall Jackson Lake</t>
  </si>
  <si>
    <t>6-21</t>
  </si>
  <si>
    <t>Angradi 1998</t>
  </si>
  <si>
    <t>Supplement to Lüskow et al. (2021)</t>
  </si>
  <si>
    <t>https://doi.org/10.3354/meps00742</t>
  </si>
  <si>
    <t>Supplement 2</t>
  </si>
  <si>
    <t>Table S1: Legend and Literature cited in Supplement 1</t>
  </si>
  <si>
    <t>Aquat Biol 30:69-84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</si>
</sst>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7"/>
      <color theme="1"/>
      <name val="Times New Roman"/>
    </font>
    <font>
      <sz val="11"/>
      <color theme="1"/>
      <name val="Times New Roman"/>
    </font>
    <font>
      <i/>
      <u/>
      <sz val="10"/>
      <color theme="10"/>
      <name val="Times New Roman"/>
    </font>
    <font>
      <b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3354/meps007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="150" zoomScaleNormal="150" zoomScalePageLayoutView="150" workbookViewId="0">
      <selection activeCell="E15" sqref="E15"/>
    </sheetView>
  </sheetViews>
  <sheetFormatPr baseColWidth="10" defaultRowHeight="13" x14ac:dyDescent="0"/>
  <cols>
    <col min="1" max="16384" width="10.83203125" style="6"/>
  </cols>
  <sheetData>
    <row r="1" spans="1:8" s="8" customFormat="1" ht="40" customHeight="1">
      <c r="A1" s="7" t="s">
        <v>389</v>
      </c>
      <c r="B1" s="7"/>
      <c r="C1" s="7"/>
      <c r="D1" s="7"/>
      <c r="E1" s="7"/>
      <c r="F1" s="7"/>
      <c r="G1" s="7"/>
      <c r="H1" s="7"/>
    </row>
    <row r="2" spans="1:8" s="8" customFormat="1" ht="32" customHeight="1">
      <c r="A2" s="9" t="s">
        <v>393</v>
      </c>
      <c r="B2" s="9"/>
      <c r="C2" s="9"/>
      <c r="D2" s="9"/>
      <c r="E2" s="9"/>
      <c r="F2" s="9"/>
      <c r="G2" s="9"/>
      <c r="H2" s="9"/>
    </row>
    <row r="3" spans="1:8" s="8" customFormat="1" ht="29" customHeight="1">
      <c r="A3" s="10" t="s">
        <v>390</v>
      </c>
      <c r="B3" s="10"/>
      <c r="C3" s="10"/>
      <c r="D3" s="10"/>
      <c r="E3" s="10"/>
      <c r="F3" s="10"/>
      <c r="G3" s="10"/>
      <c r="H3" s="10"/>
    </row>
    <row r="4" spans="1:8" s="8" customFormat="1" ht="10" customHeight="1"/>
    <row r="5" spans="1:8" s="8" customFormat="1" ht="10" customHeight="1"/>
    <row r="6" spans="1:8" s="8" customFormat="1" ht="15">
      <c r="A6" s="12" t="s">
        <v>391</v>
      </c>
      <c r="B6" s="12"/>
      <c r="C6" s="12"/>
      <c r="D6" s="12"/>
      <c r="E6" s="12"/>
      <c r="F6" s="12"/>
      <c r="G6" s="12"/>
      <c r="H6" s="12"/>
    </row>
    <row r="7" spans="1:8" s="8" customFormat="1"/>
    <row r="8" spans="1:8" s="8" customFormat="1">
      <c r="A8" s="11" t="s">
        <v>392</v>
      </c>
      <c r="B8" s="11"/>
      <c r="C8" s="11"/>
      <c r="D8" s="11"/>
      <c r="E8" s="11"/>
      <c r="F8" s="11"/>
      <c r="G8" s="11"/>
      <c r="H8" s="11"/>
    </row>
    <row r="9" spans="1:8" s="8" customFormat="1"/>
  </sheetData>
  <mergeCells count="5">
    <mergeCell ref="A8:H8"/>
    <mergeCell ref="A1:H1"/>
    <mergeCell ref="A2:H2"/>
    <mergeCell ref="A6:H6"/>
    <mergeCell ref="A3:H3"/>
  </mergeCells>
  <hyperlinks>
    <hyperlink ref="A3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8"/>
  <sheetViews>
    <sheetView zoomScale="70" zoomScaleNormal="70" zoomScalePageLayoutView="70" workbookViewId="0"/>
  </sheetViews>
  <sheetFormatPr baseColWidth="10" defaultRowHeight="15" x14ac:dyDescent="0"/>
  <cols>
    <col min="1" max="1" width="41.83203125" style="1" bestFit="1" customWidth="1"/>
    <col min="2" max="2" width="15" style="1" customWidth="1"/>
    <col min="3" max="3" width="11.5" style="4" bestFit="1" customWidth="1"/>
    <col min="4" max="4" width="7.83203125" style="1" bestFit="1" customWidth="1"/>
    <col min="5" max="5" width="9.33203125" style="4" bestFit="1" customWidth="1"/>
    <col min="6" max="6" width="11.1640625" style="1" bestFit="1" customWidth="1"/>
    <col min="7" max="7" width="14.83203125" style="1" bestFit="1" customWidth="1"/>
    <col min="8" max="8" width="14.6640625" style="4" customWidth="1"/>
    <col min="9" max="9" width="17.1640625" style="1" customWidth="1"/>
    <col min="10" max="10" width="5.5" style="1" bestFit="1" customWidth="1"/>
    <col min="11" max="11" width="17.1640625" style="1" bestFit="1" customWidth="1"/>
    <col min="12" max="12" width="18.1640625" style="4" bestFit="1" customWidth="1"/>
    <col min="13" max="13" width="16.6640625" style="1" bestFit="1" customWidth="1"/>
    <col min="14" max="14" width="29.33203125" style="1" bestFit="1" customWidth="1"/>
    <col min="15" max="15" width="19.6640625" style="1" bestFit="1" customWidth="1"/>
    <col min="16" max="16" width="4.5" style="4" bestFit="1" customWidth="1"/>
    <col min="17" max="17" width="11.1640625" style="4" bestFit="1" customWidth="1"/>
    <col min="18" max="18" width="38.6640625" style="1" customWidth="1"/>
    <col min="19" max="19" width="17.5" style="1" bestFit="1" customWidth="1"/>
    <col min="20" max="16384" width="10.83203125" style="1"/>
  </cols>
  <sheetData>
    <row r="1" spans="1:19">
      <c r="A1" s="1" t="s">
        <v>0</v>
      </c>
      <c r="B1" s="1" t="s">
        <v>4</v>
      </c>
      <c r="C1" s="1" t="s">
        <v>202</v>
      </c>
      <c r="D1" s="1" t="s">
        <v>1</v>
      </c>
      <c r="E1" s="1" t="s">
        <v>11</v>
      </c>
      <c r="F1" s="1" t="s">
        <v>12</v>
      </c>
      <c r="G1" s="1" t="s">
        <v>2</v>
      </c>
      <c r="H1" s="1" t="s">
        <v>24</v>
      </c>
      <c r="I1" s="1" t="s">
        <v>3</v>
      </c>
      <c r="J1" s="1" t="s">
        <v>14</v>
      </c>
      <c r="K1" s="1" t="s">
        <v>6</v>
      </c>
      <c r="L1" s="1" t="s">
        <v>32</v>
      </c>
      <c r="M1" s="1" t="s">
        <v>274</v>
      </c>
      <c r="N1" s="1" t="s">
        <v>303</v>
      </c>
      <c r="O1" s="1" t="s">
        <v>7</v>
      </c>
      <c r="P1" s="1" t="s">
        <v>61</v>
      </c>
      <c r="Q1" s="1" t="s">
        <v>57</v>
      </c>
      <c r="R1" s="1" t="s">
        <v>8</v>
      </c>
      <c r="S1" s="1" t="s">
        <v>369</v>
      </c>
    </row>
    <row r="2" spans="1:19">
      <c r="A2" s="1" t="s">
        <v>190</v>
      </c>
      <c r="B2" s="1" t="s">
        <v>189</v>
      </c>
      <c r="C2" s="1" t="s">
        <v>203</v>
      </c>
      <c r="E2" s="1" t="s">
        <v>205</v>
      </c>
      <c r="F2" s="1">
        <v>1980</v>
      </c>
      <c r="G2" s="2" t="s">
        <v>191</v>
      </c>
      <c r="H2" s="3">
        <f>(7+16)/2</f>
        <v>11.5</v>
      </c>
      <c r="I2" s="1">
        <v>40</v>
      </c>
      <c r="J2" s="1" t="s">
        <v>275</v>
      </c>
      <c r="K2" s="1" t="s">
        <v>192</v>
      </c>
      <c r="L2" s="3">
        <f>(22+24)/2</f>
        <v>23</v>
      </c>
      <c r="O2" s="3"/>
      <c r="P2" s="3"/>
      <c r="Q2" s="1"/>
      <c r="R2" s="1" t="s">
        <v>344</v>
      </c>
    </row>
    <row r="3" spans="1:19">
      <c r="A3" s="1" t="s">
        <v>168</v>
      </c>
      <c r="B3" s="1" t="s">
        <v>167</v>
      </c>
      <c r="C3" s="1" t="s">
        <v>203</v>
      </c>
      <c r="E3" s="1" t="s">
        <v>234</v>
      </c>
      <c r="G3" s="2"/>
      <c r="H3" s="3"/>
      <c r="J3" s="1" t="s">
        <v>275</v>
      </c>
      <c r="K3" s="1" t="s">
        <v>335</v>
      </c>
      <c r="L3" s="3">
        <v>21.5</v>
      </c>
      <c r="O3" s="3"/>
      <c r="P3" s="3"/>
      <c r="Q3" s="1"/>
      <c r="R3" s="1" t="s">
        <v>336</v>
      </c>
    </row>
    <row r="4" spans="1:19">
      <c r="A4" s="1" t="s">
        <v>168</v>
      </c>
      <c r="B4" s="1" t="s">
        <v>167</v>
      </c>
      <c r="C4" s="1" t="s">
        <v>203</v>
      </c>
      <c r="E4" s="1" t="s">
        <v>164</v>
      </c>
      <c r="F4" s="1">
        <v>1950</v>
      </c>
      <c r="G4" s="2" t="s">
        <v>69</v>
      </c>
      <c r="H4" s="1">
        <f>(10+19)/2</f>
        <v>14.5</v>
      </c>
      <c r="J4" s="1" t="s">
        <v>275</v>
      </c>
      <c r="K4" s="1" t="s">
        <v>165</v>
      </c>
      <c r="L4" s="3">
        <f>(13+23.5)/2</f>
        <v>18.25</v>
      </c>
      <c r="O4" s="3"/>
      <c r="P4" s="3"/>
      <c r="Q4" s="1"/>
      <c r="R4" s="1" t="s">
        <v>166</v>
      </c>
    </row>
    <row r="5" spans="1:19">
      <c r="A5" s="1" t="s">
        <v>172</v>
      </c>
      <c r="B5" s="1" t="s">
        <v>171</v>
      </c>
      <c r="C5" s="1" t="s">
        <v>204</v>
      </c>
      <c r="E5" s="1" t="s">
        <v>169</v>
      </c>
      <c r="F5" s="1">
        <v>1971</v>
      </c>
      <c r="G5" s="1">
        <v>20</v>
      </c>
      <c r="H5" s="1">
        <v>20</v>
      </c>
      <c r="K5" s="3" t="s">
        <v>173</v>
      </c>
      <c r="L5" s="3">
        <f>(19.6+23.6)/2</f>
        <v>21.6</v>
      </c>
      <c r="M5" s="1">
        <f>(1+0.6)/2</f>
        <v>0.8</v>
      </c>
      <c r="O5" s="3"/>
      <c r="P5" s="3">
        <f>(7.55+7.75)/2</f>
        <v>7.65</v>
      </c>
      <c r="Q5" s="3">
        <f>(9.33+12.8)/2</f>
        <v>11.065000000000001</v>
      </c>
      <c r="R5" s="1" t="s">
        <v>170</v>
      </c>
    </row>
    <row r="6" spans="1:19">
      <c r="A6" s="1" t="s">
        <v>241</v>
      </c>
      <c r="B6" s="1" t="s">
        <v>171</v>
      </c>
      <c r="C6" s="1" t="s">
        <v>204</v>
      </c>
      <c r="E6" s="1" t="s">
        <v>21</v>
      </c>
      <c r="F6" s="1">
        <v>1983</v>
      </c>
      <c r="G6" s="1">
        <v>20</v>
      </c>
      <c r="H6" s="1">
        <v>20</v>
      </c>
      <c r="K6" s="3"/>
      <c r="L6" s="3"/>
      <c r="O6" s="3"/>
      <c r="P6" s="3"/>
      <c r="Q6" s="3"/>
      <c r="R6" s="1" t="s">
        <v>240</v>
      </c>
    </row>
    <row r="7" spans="1:19">
      <c r="A7" s="1" t="s">
        <v>243</v>
      </c>
      <c r="B7" s="1" t="s">
        <v>171</v>
      </c>
      <c r="C7" s="1" t="s">
        <v>204</v>
      </c>
      <c r="E7" s="1" t="s">
        <v>52</v>
      </c>
      <c r="F7" s="1">
        <v>1992</v>
      </c>
      <c r="H7" s="1"/>
      <c r="K7" s="3"/>
      <c r="L7" s="3"/>
      <c r="O7" s="3"/>
      <c r="P7" s="3"/>
      <c r="Q7" s="3"/>
      <c r="R7" s="1" t="s">
        <v>242</v>
      </c>
    </row>
    <row r="8" spans="1:19">
      <c r="A8" s="1" t="s">
        <v>36</v>
      </c>
      <c r="B8" s="1" t="s">
        <v>37</v>
      </c>
      <c r="C8" s="1" t="s">
        <v>204</v>
      </c>
      <c r="E8" s="1" t="s">
        <v>52</v>
      </c>
      <c r="F8" s="1">
        <v>2010</v>
      </c>
      <c r="H8" s="1"/>
      <c r="I8" s="1">
        <v>1</v>
      </c>
      <c r="K8" s="1">
        <v>21.7</v>
      </c>
      <c r="L8" s="1">
        <v>21.7</v>
      </c>
      <c r="N8" s="1">
        <v>91.8</v>
      </c>
      <c r="O8" s="3">
        <v>7.36</v>
      </c>
      <c r="P8" s="3">
        <v>8.74</v>
      </c>
      <c r="Q8" s="1"/>
      <c r="R8" s="1" t="s">
        <v>38</v>
      </c>
    </row>
    <row r="9" spans="1:19">
      <c r="A9" s="1" t="s">
        <v>288</v>
      </c>
      <c r="B9" s="1" t="s">
        <v>287</v>
      </c>
      <c r="C9" s="1" t="s">
        <v>204</v>
      </c>
      <c r="E9" s="1" t="s">
        <v>42</v>
      </c>
      <c r="H9" s="1"/>
      <c r="K9" s="3">
        <v>27</v>
      </c>
      <c r="L9" s="3">
        <v>27</v>
      </c>
      <c r="O9" s="3"/>
      <c r="P9" s="3"/>
      <c r="Q9" s="1">
        <v>5.4</v>
      </c>
      <c r="R9" s="1" t="s">
        <v>345</v>
      </c>
      <c r="S9" s="1" t="s">
        <v>370</v>
      </c>
    </row>
    <row r="10" spans="1:19">
      <c r="A10" s="1" t="s">
        <v>162</v>
      </c>
      <c r="B10" s="1" t="s">
        <v>55</v>
      </c>
      <c r="C10" s="1" t="s">
        <v>203</v>
      </c>
      <c r="E10" s="1" t="s">
        <v>42</v>
      </c>
      <c r="F10" s="1">
        <v>2009</v>
      </c>
      <c r="G10" s="2" t="s">
        <v>163</v>
      </c>
      <c r="H10" s="3">
        <f>(5+13)/2</f>
        <v>9</v>
      </c>
      <c r="I10" s="1">
        <v>5</v>
      </c>
      <c r="L10" s="1"/>
      <c r="P10" s="1"/>
      <c r="Q10" s="1"/>
      <c r="R10" s="1" t="s">
        <v>161</v>
      </c>
    </row>
    <row r="11" spans="1:19">
      <c r="A11" s="1" t="s">
        <v>160</v>
      </c>
      <c r="B11" s="1" t="s">
        <v>55</v>
      </c>
      <c r="C11" s="1" t="s">
        <v>203</v>
      </c>
      <c r="D11" s="1" t="s">
        <v>58</v>
      </c>
      <c r="E11" s="1" t="s">
        <v>103</v>
      </c>
      <c r="F11" s="1">
        <v>2010</v>
      </c>
      <c r="G11" s="2" t="s">
        <v>158</v>
      </c>
      <c r="H11" s="1">
        <f>(8.1+11.5)/2</f>
        <v>9.8000000000000007</v>
      </c>
      <c r="K11" s="3">
        <v>22</v>
      </c>
      <c r="L11" s="3">
        <v>22</v>
      </c>
      <c r="P11" s="1"/>
      <c r="Q11" s="1"/>
      <c r="R11" s="1" t="s">
        <v>159</v>
      </c>
    </row>
    <row r="12" spans="1:19">
      <c r="A12" s="1" t="s">
        <v>89</v>
      </c>
      <c r="B12" s="1" t="s">
        <v>55</v>
      </c>
      <c r="C12" s="1" t="s">
        <v>203</v>
      </c>
      <c r="D12" s="1" t="s">
        <v>58</v>
      </c>
      <c r="E12" s="1" t="s">
        <v>56</v>
      </c>
      <c r="F12" s="1">
        <v>2011</v>
      </c>
      <c r="G12" s="1">
        <v>20</v>
      </c>
      <c r="H12" s="3">
        <v>20</v>
      </c>
      <c r="I12" s="1">
        <v>7</v>
      </c>
      <c r="L12" s="1"/>
      <c r="P12" s="1"/>
      <c r="Q12" s="1"/>
      <c r="R12" s="1" t="s">
        <v>346</v>
      </c>
    </row>
    <row r="13" spans="1:19">
      <c r="A13" s="1" t="s">
        <v>60</v>
      </c>
      <c r="B13" s="1" t="s">
        <v>55</v>
      </c>
      <c r="C13" s="1" t="s">
        <v>203</v>
      </c>
      <c r="D13" s="1" t="s">
        <v>58</v>
      </c>
      <c r="E13" s="1" t="s">
        <v>56</v>
      </c>
      <c r="F13" s="1">
        <v>2006</v>
      </c>
      <c r="G13" s="1" t="s">
        <v>59</v>
      </c>
      <c r="H13" s="1">
        <v>7.8</v>
      </c>
      <c r="I13" s="1">
        <v>15</v>
      </c>
      <c r="K13" s="1">
        <v>25.5</v>
      </c>
      <c r="L13" s="1">
        <v>25.5</v>
      </c>
      <c r="M13" s="1">
        <v>3.2</v>
      </c>
      <c r="N13" s="3">
        <v>3</v>
      </c>
      <c r="O13" s="3">
        <v>75</v>
      </c>
      <c r="P13" s="3">
        <v>7.5</v>
      </c>
      <c r="Q13" s="3">
        <v>3.5</v>
      </c>
      <c r="R13" s="1" t="s">
        <v>347</v>
      </c>
    </row>
    <row r="14" spans="1:19">
      <c r="A14" s="1" t="s">
        <v>125</v>
      </c>
      <c r="B14" s="1" t="s">
        <v>124</v>
      </c>
      <c r="C14" s="1" t="s">
        <v>204</v>
      </c>
      <c r="D14" s="2"/>
      <c r="E14" s="1" t="s">
        <v>42</v>
      </c>
      <c r="F14" s="1">
        <v>2007</v>
      </c>
      <c r="G14" s="3"/>
      <c r="H14" s="3"/>
      <c r="K14" s="1">
        <v>26.5</v>
      </c>
      <c r="L14" s="1">
        <v>26.5</v>
      </c>
      <c r="M14" s="1">
        <v>1.2</v>
      </c>
      <c r="O14" s="3"/>
      <c r="P14" s="3"/>
      <c r="Q14" s="1">
        <v>9.1999999999999993</v>
      </c>
      <c r="R14" s="1" t="s">
        <v>128</v>
      </c>
    </row>
    <row r="15" spans="1:19">
      <c r="A15" s="1" t="s">
        <v>125</v>
      </c>
      <c r="B15" s="1" t="s">
        <v>124</v>
      </c>
      <c r="C15" s="1" t="s">
        <v>204</v>
      </c>
      <c r="D15" s="2"/>
      <c r="E15" s="1" t="s">
        <v>52</v>
      </c>
      <c r="F15" s="1">
        <v>2009</v>
      </c>
      <c r="G15" s="3"/>
      <c r="H15" s="3"/>
      <c r="K15" s="1">
        <v>23.1</v>
      </c>
      <c r="L15" s="1">
        <v>23.1</v>
      </c>
      <c r="M15" s="1">
        <v>0.7</v>
      </c>
      <c r="O15" s="3"/>
      <c r="P15" s="3">
        <v>8.5</v>
      </c>
      <c r="Q15" s="1">
        <v>8.6</v>
      </c>
      <c r="R15" s="1" t="s">
        <v>128</v>
      </c>
    </row>
    <row r="16" spans="1:19">
      <c r="A16" s="1" t="s">
        <v>126</v>
      </c>
      <c r="B16" s="1" t="s">
        <v>124</v>
      </c>
      <c r="C16" s="1" t="s">
        <v>204</v>
      </c>
      <c r="D16" s="2"/>
      <c r="E16" s="1" t="s">
        <v>21</v>
      </c>
      <c r="F16" s="1">
        <v>2011</v>
      </c>
      <c r="G16" s="3"/>
      <c r="H16" s="3"/>
      <c r="K16" s="3">
        <v>25</v>
      </c>
      <c r="L16" s="3">
        <v>25</v>
      </c>
      <c r="O16" s="3"/>
      <c r="P16" s="3"/>
      <c r="Q16" s="1"/>
      <c r="R16" s="1" t="s">
        <v>128</v>
      </c>
    </row>
    <row r="17" spans="1:18">
      <c r="A17" s="1" t="s">
        <v>127</v>
      </c>
      <c r="B17" s="1" t="s">
        <v>124</v>
      </c>
      <c r="C17" s="1" t="s">
        <v>204</v>
      </c>
      <c r="D17" s="2"/>
      <c r="E17" s="1" t="s">
        <v>42</v>
      </c>
      <c r="F17" s="1">
        <v>2016</v>
      </c>
      <c r="G17" s="3"/>
      <c r="H17" s="3"/>
      <c r="K17" s="3">
        <v>29</v>
      </c>
      <c r="L17" s="3">
        <v>29</v>
      </c>
      <c r="M17" s="1">
        <v>8.5</v>
      </c>
      <c r="O17" s="3"/>
      <c r="P17" s="3">
        <v>9.09</v>
      </c>
      <c r="Q17" s="1">
        <v>7.6</v>
      </c>
      <c r="R17" s="1" t="s">
        <v>128</v>
      </c>
    </row>
    <row r="18" spans="1:18">
      <c r="A18" s="1" t="s">
        <v>318</v>
      </c>
      <c r="B18" s="1" t="s">
        <v>247</v>
      </c>
      <c r="C18" s="1" t="s">
        <v>204</v>
      </c>
      <c r="D18" s="2" t="s">
        <v>58</v>
      </c>
      <c r="E18" s="1" t="s">
        <v>21</v>
      </c>
      <c r="F18" s="1">
        <v>1990</v>
      </c>
      <c r="G18" s="3"/>
      <c r="H18" s="3"/>
      <c r="J18" s="1" t="s">
        <v>277</v>
      </c>
      <c r="K18" s="3"/>
      <c r="L18" s="3"/>
      <c r="O18" s="3"/>
      <c r="P18" s="3"/>
      <c r="Q18" s="1"/>
      <c r="R18" s="1" t="s">
        <v>319</v>
      </c>
    </row>
    <row r="19" spans="1:18">
      <c r="A19" s="1" t="s">
        <v>320</v>
      </c>
      <c r="B19" s="1" t="s">
        <v>247</v>
      </c>
      <c r="C19" s="1" t="s">
        <v>204</v>
      </c>
      <c r="D19" s="2"/>
      <c r="E19" s="1" t="s">
        <v>21</v>
      </c>
      <c r="F19" s="1">
        <v>1991</v>
      </c>
      <c r="G19" s="3"/>
      <c r="H19" s="3"/>
      <c r="K19" s="3"/>
      <c r="L19" s="3"/>
      <c r="O19" s="3"/>
      <c r="P19" s="3"/>
      <c r="Q19" s="1"/>
      <c r="R19" s="1" t="s">
        <v>319</v>
      </c>
    </row>
    <row r="20" spans="1:18">
      <c r="A20" s="1" t="s">
        <v>246</v>
      </c>
      <c r="B20" s="1" t="s">
        <v>247</v>
      </c>
      <c r="C20" s="1" t="s">
        <v>204</v>
      </c>
      <c r="D20" s="2"/>
      <c r="E20" s="1" t="s">
        <v>230</v>
      </c>
      <c r="F20" s="1">
        <v>1955</v>
      </c>
      <c r="G20" s="2" t="s">
        <v>248</v>
      </c>
      <c r="H20" s="3">
        <f>(1+20)/2</f>
        <v>10.5</v>
      </c>
      <c r="J20" s="1" t="s">
        <v>275</v>
      </c>
      <c r="L20" s="1"/>
      <c r="O20" s="3"/>
      <c r="P20" s="3"/>
      <c r="Q20" s="1"/>
      <c r="R20" s="1" t="s">
        <v>254</v>
      </c>
    </row>
    <row r="21" spans="1:18">
      <c r="A21" s="1" t="s">
        <v>251</v>
      </c>
      <c r="B21" s="1" t="s">
        <v>247</v>
      </c>
      <c r="C21" s="1" t="s">
        <v>204</v>
      </c>
      <c r="D21" s="2" t="s">
        <v>252</v>
      </c>
      <c r="E21" s="2" t="s">
        <v>63</v>
      </c>
      <c r="F21" s="1">
        <v>1952</v>
      </c>
      <c r="G21" s="2" t="s">
        <v>253</v>
      </c>
      <c r="H21" s="3">
        <f>(12+16)/2</f>
        <v>14</v>
      </c>
      <c r="I21" s="1">
        <v>13</v>
      </c>
      <c r="J21" s="1" t="s">
        <v>275</v>
      </c>
      <c r="L21" s="1"/>
      <c r="O21" s="3"/>
      <c r="P21" s="3"/>
      <c r="Q21" s="1"/>
      <c r="R21" s="1" t="s">
        <v>254</v>
      </c>
    </row>
    <row r="22" spans="1:18">
      <c r="A22" s="1" t="s">
        <v>249</v>
      </c>
      <c r="B22" s="1" t="s">
        <v>247</v>
      </c>
      <c r="C22" s="1" t="s">
        <v>204</v>
      </c>
      <c r="D22" s="2" t="s">
        <v>250</v>
      </c>
      <c r="E22" s="1" t="s">
        <v>169</v>
      </c>
      <c r="F22" s="1">
        <v>1955</v>
      </c>
      <c r="G22" s="2"/>
      <c r="H22" s="2"/>
      <c r="L22" s="1"/>
      <c r="O22" s="3"/>
      <c r="P22" s="3"/>
      <c r="Q22" s="1"/>
      <c r="R22" s="1" t="s">
        <v>254</v>
      </c>
    </row>
    <row r="23" spans="1:18">
      <c r="A23" s="1" t="s">
        <v>198</v>
      </c>
      <c r="B23" s="1" t="s">
        <v>87</v>
      </c>
      <c r="C23" s="1" t="s">
        <v>203</v>
      </c>
      <c r="D23" s="2"/>
      <c r="E23" s="1"/>
      <c r="F23" s="1" t="s">
        <v>184</v>
      </c>
      <c r="G23" s="3"/>
      <c r="H23" s="3"/>
      <c r="K23" s="1">
        <v>24.25</v>
      </c>
      <c r="L23" s="3">
        <v>24.25</v>
      </c>
      <c r="M23" s="3">
        <v>3</v>
      </c>
      <c r="N23" s="3">
        <v>68</v>
      </c>
      <c r="O23" s="3">
        <v>5.49</v>
      </c>
      <c r="P23" s="3">
        <v>7.5</v>
      </c>
      <c r="Q23" s="3">
        <v>7.81</v>
      </c>
      <c r="R23" s="1" t="s">
        <v>183</v>
      </c>
    </row>
    <row r="24" spans="1:18">
      <c r="A24" s="1" t="s">
        <v>197</v>
      </c>
      <c r="B24" s="1" t="s">
        <v>87</v>
      </c>
      <c r="C24" s="1" t="s">
        <v>203</v>
      </c>
      <c r="D24" s="2"/>
      <c r="E24" s="1"/>
      <c r="F24" s="1" t="s">
        <v>184</v>
      </c>
      <c r="G24" s="3"/>
      <c r="H24" s="3"/>
      <c r="K24" s="1">
        <v>23.56</v>
      </c>
      <c r="L24" s="3">
        <v>23.56</v>
      </c>
      <c r="M24" s="3">
        <v>6</v>
      </c>
      <c r="N24" s="3">
        <v>20</v>
      </c>
      <c r="O24" s="3">
        <v>3.33</v>
      </c>
      <c r="P24" s="3">
        <v>6.9</v>
      </c>
      <c r="Q24" s="3">
        <v>9.51</v>
      </c>
      <c r="R24" s="1" t="s">
        <v>183</v>
      </c>
    </row>
    <row r="25" spans="1:18">
      <c r="A25" s="1" t="s">
        <v>200</v>
      </c>
      <c r="B25" s="1" t="s">
        <v>87</v>
      </c>
      <c r="C25" s="1" t="s">
        <v>203</v>
      </c>
      <c r="D25" s="2"/>
      <c r="E25" s="1"/>
      <c r="F25" s="1" t="s">
        <v>184</v>
      </c>
      <c r="G25" s="3"/>
      <c r="H25" s="3"/>
      <c r="K25" s="1">
        <v>17.920000000000002</v>
      </c>
      <c r="L25" s="3">
        <v>17.920000000000002</v>
      </c>
      <c r="M25" s="3">
        <v>6.5</v>
      </c>
      <c r="N25" s="3">
        <v>48</v>
      </c>
      <c r="O25" s="3">
        <v>2.08</v>
      </c>
      <c r="P25" s="3">
        <v>7</v>
      </c>
      <c r="Q25" s="3">
        <v>8.68</v>
      </c>
      <c r="R25" s="1" t="s">
        <v>183</v>
      </c>
    </row>
    <row r="26" spans="1:18">
      <c r="A26" s="1" t="s">
        <v>104</v>
      </c>
      <c r="B26" s="1" t="s">
        <v>87</v>
      </c>
      <c r="C26" s="1" t="s">
        <v>203</v>
      </c>
      <c r="E26" s="1" t="s">
        <v>103</v>
      </c>
      <c r="F26" s="1">
        <v>2013</v>
      </c>
      <c r="G26" s="3">
        <v>16</v>
      </c>
      <c r="H26" s="3">
        <v>16</v>
      </c>
      <c r="K26" s="1">
        <v>15.4</v>
      </c>
      <c r="L26" s="1">
        <v>15.4</v>
      </c>
      <c r="M26" s="1">
        <v>4.5</v>
      </c>
      <c r="N26" s="3">
        <v>45</v>
      </c>
      <c r="O26" s="3">
        <v>2.33</v>
      </c>
      <c r="P26" s="3">
        <v>7.36</v>
      </c>
      <c r="Q26" s="1">
        <v>8.5</v>
      </c>
      <c r="R26" s="1" t="s">
        <v>112</v>
      </c>
    </row>
    <row r="27" spans="1:18">
      <c r="A27" s="1" t="s">
        <v>135</v>
      </c>
      <c r="B27" s="1" t="s">
        <v>87</v>
      </c>
      <c r="C27" s="1" t="s">
        <v>203</v>
      </c>
      <c r="D27" s="1" t="s">
        <v>49</v>
      </c>
      <c r="E27" s="1" t="s">
        <v>138</v>
      </c>
      <c r="F27" s="1">
        <v>2016</v>
      </c>
      <c r="G27" s="2" t="s">
        <v>139</v>
      </c>
      <c r="H27" s="3">
        <f>(4+20)/2</f>
        <v>12</v>
      </c>
      <c r="K27" s="1" t="s">
        <v>140</v>
      </c>
      <c r="L27" s="3">
        <v>20.350000000000001</v>
      </c>
      <c r="M27" s="3">
        <f>(6.5+6)/2</f>
        <v>6.25</v>
      </c>
      <c r="N27" s="3"/>
      <c r="O27" s="1">
        <v>2.1</v>
      </c>
      <c r="P27" s="1"/>
      <c r="Q27" s="1"/>
      <c r="R27" s="1" t="s">
        <v>134</v>
      </c>
    </row>
    <row r="28" spans="1:18">
      <c r="A28" s="1" t="s">
        <v>137</v>
      </c>
      <c r="B28" s="1" t="s">
        <v>87</v>
      </c>
      <c r="C28" s="1" t="s">
        <v>203</v>
      </c>
      <c r="D28" s="1" t="s">
        <v>49</v>
      </c>
      <c r="E28" s="1" t="s">
        <v>138</v>
      </c>
      <c r="F28" s="1">
        <v>2016</v>
      </c>
      <c r="G28" s="2" t="s">
        <v>139</v>
      </c>
      <c r="H28" s="3">
        <f>(4+20)/2</f>
        <v>12</v>
      </c>
      <c r="K28" s="1">
        <v>20.2</v>
      </c>
      <c r="L28" s="1">
        <v>20.2</v>
      </c>
      <c r="M28" s="1">
        <f>(14+15)/2</f>
        <v>14.5</v>
      </c>
      <c r="O28" s="1">
        <v>1.4</v>
      </c>
      <c r="P28" s="1"/>
      <c r="Q28" s="1"/>
      <c r="R28" s="1" t="s">
        <v>134</v>
      </c>
    </row>
    <row r="29" spans="1:18">
      <c r="A29" s="1" t="s">
        <v>136</v>
      </c>
      <c r="B29" s="1" t="s">
        <v>87</v>
      </c>
      <c r="C29" s="1" t="s">
        <v>203</v>
      </c>
      <c r="D29" s="1" t="s">
        <v>49</v>
      </c>
      <c r="E29" s="1" t="s">
        <v>138</v>
      </c>
      <c r="F29" s="1">
        <v>2016</v>
      </c>
      <c r="G29" s="2" t="s">
        <v>139</v>
      </c>
      <c r="H29" s="3">
        <f>(4+20)/2</f>
        <v>12</v>
      </c>
      <c r="K29" s="1" t="s">
        <v>141</v>
      </c>
      <c r="L29" s="3">
        <v>21</v>
      </c>
      <c r="M29" s="1">
        <f>(9+10)/2</f>
        <v>9.5</v>
      </c>
      <c r="O29" s="1">
        <v>1.2</v>
      </c>
      <c r="P29" s="1"/>
      <c r="Q29" s="1"/>
      <c r="R29" s="1" t="s">
        <v>134</v>
      </c>
    </row>
    <row r="30" spans="1:18">
      <c r="A30" s="1" t="s">
        <v>193</v>
      </c>
      <c r="B30" s="1" t="s">
        <v>87</v>
      </c>
      <c r="C30" s="1" t="s">
        <v>203</v>
      </c>
      <c r="D30" s="2"/>
      <c r="E30" s="1"/>
      <c r="F30" s="1" t="s">
        <v>184</v>
      </c>
      <c r="G30" s="3"/>
      <c r="H30" s="3"/>
      <c r="K30" s="1">
        <v>21.17</v>
      </c>
      <c r="L30" s="3">
        <v>21.17</v>
      </c>
      <c r="M30" s="1">
        <v>5.0999999999999996</v>
      </c>
      <c r="N30" s="3">
        <v>42</v>
      </c>
      <c r="O30" s="3">
        <v>6.4</v>
      </c>
      <c r="P30" s="3">
        <v>7.3</v>
      </c>
      <c r="Q30" s="3">
        <v>8.67</v>
      </c>
      <c r="R30" s="1" t="s">
        <v>183</v>
      </c>
    </row>
    <row r="31" spans="1:18">
      <c r="A31" s="1" t="s">
        <v>201</v>
      </c>
      <c r="B31" s="1" t="s">
        <v>87</v>
      </c>
      <c r="C31" s="1" t="s">
        <v>203</v>
      </c>
      <c r="D31" s="2"/>
      <c r="E31" s="1"/>
      <c r="F31" s="1" t="s">
        <v>184</v>
      </c>
      <c r="G31" s="3"/>
      <c r="H31" s="3"/>
      <c r="K31" s="1">
        <v>20.38</v>
      </c>
      <c r="L31" s="3">
        <v>20.38</v>
      </c>
      <c r="M31" s="3">
        <v>4</v>
      </c>
      <c r="N31" s="3">
        <v>36</v>
      </c>
      <c r="O31" s="3">
        <v>1.47</v>
      </c>
      <c r="P31" s="3">
        <v>7.2</v>
      </c>
      <c r="Q31" s="3">
        <v>8.85</v>
      </c>
      <c r="R31" s="1" t="s">
        <v>183</v>
      </c>
    </row>
    <row r="32" spans="1:18">
      <c r="A32" s="1" t="s">
        <v>196</v>
      </c>
      <c r="B32" s="1" t="s">
        <v>87</v>
      </c>
      <c r="C32" s="1" t="s">
        <v>203</v>
      </c>
      <c r="D32" s="2"/>
      <c r="E32" s="1"/>
      <c r="F32" s="1" t="s">
        <v>184</v>
      </c>
      <c r="G32" s="3"/>
      <c r="H32" s="3"/>
      <c r="K32" s="1">
        <v>22.7</v>
      </c>
      <c r="L32" s="3">
        <v>22.7</v>
      </c>
      <c r="M32" s="1">
        <v>0.2</v>
      </c>
      <c r="N32" s="3">
        <v>17</v>
      </c>
      <c r="O32" s="3">
        <v>39</v>
      </c>
      <c r="P32" s="3">
        <v>9</v>
      </c>
      <c r="Q32" s="3">
        <v>9.9</v>
      </c>
      <c r="R32" s="1" t="s">
        <v>183</v>
      </c>
    </row>
    <row r="33" spans="1:18">
      <c r="A33" s="1" t="s">
        <v>195</v>
      </c>
      <c r="B33" s="1" t="s">
        <v>87</v>
      </c>
      <c r="C33" s="1" t="s">
        <v>203</v>
      </c>
      <c r="D33" s="2"/>
      <c r="E33" s="1"/>
      <c r="F33" s="1" t="s">
        <v>184</v>
      </c>
      <c r="G33" s="3"/>
      <c r="H33" s="3"/>
      <c r="K33" s="1">
        <v>22.2</v>
      </c>
      <c r="L33" s="3">
        <v>22.2</v>
      </c>
      <c r="M33" s="1">
        <v>1.3</v>
      </c>
      <c r="N33" s="3">
        <v>51</v>
      </c>
      <c r="O33" s="3">
        <v>4.5</v>
      </c>
      <c r="P33" s="3">
        <v>8.5</v>
      </c>
      <c r="Q33" s="3">
        <v>8.93</v>
      </c>
      <c r="R33" s="1" t="s">
        <v>183</v>
      </c>
    </row>
    <row r="34" spans="1:18">
      <c r="A34" s="1" t="s">
        <v>194</v>
      </c>
      <c r="B34" s="1" t="s">
        <v>87</v>
      </c>
      <c r="C34" s="1" t="s">
        <v>203</v>
      </c>
      <c r="D34" s="2"/>
      <c r="E34" s="1"/>
      <c r="F34" s="1" t="s">
        <v>184</v>
      </c>
      <c r="G34" s="3"/>
      <c r="H34" s="3"/>
      <c r="K34" s="1">
        <v>22.39</v>
      </c>
      <c r="L34" s="3">
        <v>22.39</v>
      </c>
      <c r="M34" s="1">
        <v>3.4</v>
      </c>
      <c r="N34" s="1">
        <v>149.9</v>
      </c>
      <c r="O34" s="3">
        <v>6.7</v>
      </c>
      <c r="P34" s="3">
        <v>7.4</v>
      </c>
      <c r="Q34" s="3">
        <v>8.49</v>
      </c>
      <c r="R34" s="1" t="s">
        <v>183</v>
      </c>
    </row>
    <row r="35" spans="1:18">
      <c r="A35" s="1" t="s">
        <v>199</v>
      </c>
      <c r="B35" s="1" t="s">
        <v>87</v>
      </c>
      <c r="C35" s="1" t="s">
        <v>203</v>
      </c>
      <c r="D35" s="2"/>
      <c r="E35" s="1"/>
      <c r="F35" s="1" t="s">
        <v>184</v>
      </c>
      <c r="G35" s="3"/>
      <c r="H35" s="3"/>
      <c r="K35" s="1">
        <v>19.3</v>
      </c>
      <c r="L35" s="3">
        <v>19.3</v>
      </c>
      <c r="M35" s="3">
        <v>5.2</v>
      </c>
      <c r="N35" s="3">
        <v>61</v>
      </c>
      <c r="O35" s="3">
        <v>2.8</v>
      </c>
      <c r="P35" s="3">
        <v>7.42</v>
      </c>
      <c r="Q35" s="3">
        <v>9</v>
      </c>
      <c r="R35" s="1" t="s">
        <v>183</v>
      </c>
    </row>
    <row r="36" spans="1:18">
      <c r="A36" s="1" t="s">
        <v>86</v>
      </c>
      <c r="B36" s="1" t="s">
        <v>87</v>
      </c>
      <c r="C36" s="1" t="s">
        <v>203</v>
      </c>
      <c r="E36" s="1" t="s">
        <v>56</v>
      </c>
      <c r="F36" s="1">
        <v>2014</v>
      </c>
      <c r="H36" s="3">
        <v>23</v>
      </c>
      <c r="I36" s="1">
        <v>6</v>
      </c>
      <c r="K36" s="1">
        <v>20.100000000000001</v>
      </c>
      <c r="L36" s="1">
        <v>20.100000000000001</v>
      </c>
      <c r="M36" s="3">
        <v>3.31</v>
      </c>
      <c r="N36" s="3"/>
      <c r="P36" s="3">
        <v>7.5</v>
      </c>
      <c r="Q36" s="3">
        <f>(7.4+7.59+7.69)/3</f>
        <v>7.56</v>
      </c>
      <c r="R36" s="1" t="s">
        <v>88</v>
      </c>
    </row>
    <row r="37" spans="1:18">
      <c r="A37" s="1" t="s">
        <v>232</v>
      </c>
      <c r="B37" s="1" t="s">
        <v>87</v>
      </c>
      <c r="C37" s="1" t="s">
        <v>203</v>
      </c>
      <c r="D37" s="2"/>
      <c r="E37" s="1" t="s">
        <v>234</v>
      </c>
      <c r="F37" s="1">
        <v>1942</v>
      </c>
      <c r="G37" s="2" t="s">
        <v>233</v>
      </c>
      <c r="H37" s="3">
        <f>(5+10)/2</f>
        <v>7.5</v>
      </c>
      <c r="L37" s="3"/>
      <c r="M37" s="3"/>
      <c r="N37" s="3"/>
      <c r="O37" s="3"/>
      <c r="P37" s="3"/>
      <c r="Q37" s="3"/>
      <c r="R37" s="1" t="s">
        <v>348</v>
      </c>
    </row>
    <row r="38" spans="1:18">
      <c r="A38" s="1" t="s">
        <v>235</v>
      </c>
      <c r="B38" s="1" t="s">
        <v>236</v>
      </c>
      <c r="C38" s="1" t="s">
        <v>204</v>
      </c>
      <c r="E38" s="1" t="s">
        <v>237</v>
      </c>
      <c r="F38" s="1" t="s">
        <v>238</v>
      </c>
      <c r="G38" s="2" t="s">
        <v>239</v>
      </c>
      <c r="H38" s="3">
        <f>(6+24)/2</f>
        <v>15</v>
      </c>
      <c r="J38" s="1" t="s">
        <v>276</v>
      </c>
      <c r="L38" s="1"/>
      <c r="M38" s="3"/>
      <c r="N38" s="3"/>
      <c r="P38" s="3"/>
      <c r="Q38" s="3"/>
      <c r="R38" s="1" t="s">
        <v>349</v>
      </c>
    </row>
    <row r="39" spans="1:18">
      <c r="A39" s="1" t="s">
        <v>366</v>
      </c>
      <c r="B39" s="1" t="s">
        <v>281</v>
      </c>
      <c r="C39" s="1" t="s">
        <v>204</v>
      </c>
      <c r="E39" s="1" t="s">
        <v>42</v>
      </c>
      <c r="F39" s="1">
        <v>2015</v>
      </c>
      <c r="G39" s="2"/>
      <c r="H39" s="3"/>
      <c r="L39" s="1"/>
      <c r="M39" s="3"/>
      <c r="N39" s="3"/>
      <c r="P39" s="3"/>
      <c r="Q39" s="3"/>
      <c r="R39" s="1" t="s">
        <v>368</v>
      </c>
    </row>
    <row r="40" spans="1:18">
      <c r="A40" s="1" t="s">
        <v>282</v>
      </c>
      <c r="B40" s="1" t="s">
        <v>281</v>
      </c>
      <c r="C40" s="1" t="s">
        <v>204</v>
      </c>
      <c r="E40" s="1" t="s">
        <v>83</v>
      </c>
      <c r="F40" s="1">
        <v>1930</v>
      </c>
      <c r="G40" s="2"/>
      <c r="H40" s="3"/>
      <c r="J40" s="1" t="s">
        <v>277</v>
      </c>
      <c r="L40" s="1"/>
      <c r="M40" s="3"/>
      <c r="N40" s="3"/>
      <c r="P40" s="3"/>
      <c r="Q40" s="3"/>
      <c r="R40" s="1" t="s">
        <v>283</v>
      </c>
    </row>
    <row r="41" spans="1:18">
      <c r="A41" s="1" t="s">
        <v>367</v>
      </c>
      <c r="B41" s="1" t="s">
        <v>281</v>
      </c>
      <c r="C41" s="1" t="s">
        <v>204</v>
      </c>
      <c r="E41" s="1" t="s">
        <v>21</v>
      </c>
      <c r="F41" s="1">
        <v>2015</v>
      </c>
      <c r="G41" s="2"/>
      <c r="H41" s="3"/>
      <c r="L41" s="1"/>
      <c r="M41" s="3"/>
      <c r="N41" s="3"/>
      <c r="P41" s="3"/>
      <c r="Q41" s="3"/>
      <c r="R41" s="1" t="s">
        <v>368</v>
      </c>
    </row>
    <row r="42" spans="1:18">
      <c r="A42" s="1" t="s">
        <v>261</v>
      </c>
      <c r="B42" s="1" t="s">
        <v>259</v>
      </c>
      <c r="C42" s="1" t="s">
        <v>204</v>
      </c>
      <c r="E42" s="1" t="s">
        <v>177</v>
      </c>
      <c r="F42" s="1">
        <v>1985</v>
      </c>
      <c r="G42" s="2" t="s">
        <v>260</v>
      </c>
      <c r="H42" s="3">
        <v>12</v>
      </c>
      <c r="I42" s="1">
        <v>12</v>
      </c>
      <c r="J42" s="1" t="s">
        <v>275</v>
      </c>
      <c r="K42" s="1">
        <v>27</v>
      </c>
      <c r="L42" s="3">
        <v>27</v>
      </c>
      <c r="M42" s="3"/>
      <c r="N42" s="3">
        <v>353</v>
      </c>
      <c r="P42" s="3">
        <v>8.1</v>
      </c>
      <c r="Q42" s="3">
        <v>8.6999999999999993</v>
      </c>
      <c r="R42" s="1" t="s">
        <v>268</v>
      </c>
    </row>
    <row r="43" spans="1:18">
      <c r="A43" s="1" t="s">
        <v>314</v>
      </c>
      <c r="B43" s="1" t="s">
        <v>259</v>
      </c>
      <c r="C43" s="1" t="s">
        <v>204</v>
      </c>
      <c r="E43" s="1" t="s">
        <v>20</v>
      </c>
      <c r="F43" s="1" t="s">
        <v>315</v>
      </c>
      <c r="G43" s="2" t="s">
        <v>316</v>
      </c>
      <c r="H43" s="3">
        <f>(12+18)/2</f>
        <v>15</v>
      </c>
      <c r="J43" s="1" t="s">
        <v>275</v>
      </c>
      <c r="L43" s="3"/>
      <c r="M43" s="3"/>
      <c r="N43" s="3"/>
      <c r="P43" s="3"/>
      <c r="Q43" s="3"/>
      <c r="R43" s="1" t="s">
        <v>317</v>
      </c>
    </row>
    <row r="44" spans="1:18">
      <c r="A44" s="1" t="s">
        <v>154</v>
      </c>
      <c r="B44" s="1" t="s">
        <v>25</v>
      </c>
      <c r="C44" s="1" t="s">
        <v>204</v>
      </c>
      <c r="D44" s="2" t="s">
        <v>156</v>
      </c>
      <c r="E44" s="1" t="s">
        <v>63</v>
      </c>
      <c r="F44" s="1">
        <v>2018</v>
      </c>
      <c r="G44" s="1">
        <v>20</v>
      </c>
      <c r="H44" s="3">
        <v>20</v>
      </c>
      <c r="I44" s="1" t="s">
        <v>174</v>
      </c>
      <c r="K44" s="3">
        <v>20</v>
      </c>
      <c r="L44" s="3">
        <v>20</v>
      </c>
      <c r="P44" s="1"/>
      <c r="Q44" s="1"/>
      <c r="R44" s="1" t="s">
        <v>155</v>
      </c>
    </row>
    <row r="45" spans="1:18">
      <c r="A45" s="1" t="s">
        <v>27</v>
      </c>
      <c r="B45" s="1" t="s">
        <v>25</v>
      </c>
      <c r="C45" s="1" t="s">
        <v>204</v>
      </c>
      <c r="D45" s="1" t="s">
        <v>26</v>
      </c>
      <c r="E45" s="1" t="s">
        <v>28</v>
      </c>
      <c r="F45" s="1">
        <v>1997</v>
      </c>
      <c r="G45" s="2" t="s">
        <v>23</v>
      </c>
      <c r="H45" s="1">
        <f>(5+28)/2</f>
        <v>16.5</v>
      </c>
      <c r="I45" s="1" t="s">
        <v>29</v>
      </c>
      <c r="K45" s="1" t="s">
        <v>31</v>
      </c>
      <c r="L45" s="1">
        <v>22.5</v>
      </c>
      <c r="P45" s="1"/>
      <c r="Q45" s="1"/>
      <c r="R45" s="1" t="s">
        <v>350</v>
      </c>
    </row>
    <row r="46" spans="1:18">
      <c r="A46" s="1" t="s">
        <v>284</v>
      </c>
      <c r="B46" s="1" t="s">
        <v>25</v>
      </c>
      <c r="C46" s="1" t="s">
        <v>204</v>
      </c>
      <c r="E46" s="1" t="s">
        <v>177</v>
      </c>
      <c r="F46" s="1">
        <v>1974</v>
      </c>
      <c r="G46" s="2" t="s">
        <v>286</v>
      </c>
      <c r="H46" s="1">
        <v>20</v>
      </c>
      <c r="J46" s="1" t="s">
        <v>275</v>
      </c>
      <c r="K46" s="3">
        <v>16</v>
      </c>
      <c r="L46" s="3">
        <v>16</v>
      </c>
      <c r="P46" s="1">
        <v>7.3</v>
      </c>
      <c r="Q46" s="3">
        <v>10</v>
      </c>
      <c r="R46" s="1" t="s">
        <v>285</v>
      </c>
    </row>
    <row r="47" spans="1:18">
      <c r="A47" s="1" t="s">
        <v>284</v>
      </c>
      <c r="B47" s="1" t="s">
        <v>25</v>
      </c>
      <c r="C47" s="1" t="s">
        <v>204</v>
      </c>
      <c r="E47" s="1" t="s">
        <v>21</v>
      </c>
      <c r="F47" s="1">
        <v>1978</v>
      </c>
      <c r="G47" s="2" t="s">
        <v>286</v>
      </c>
      <c r="H47" s="1">
        <v>20</v>
      </c>
      <c r="J47" s="1" t="s">
        <v>275</v>
      </c>
      <c r="K47" s="1">
        <v>22.6</v>
      </c>
      <c r="L47" s="1">
        <v>22.6</v>
      </c>
      <c r="N47" s="3">
        <v>490</v>
      </c>
      <c r="P47" s="1">
        <v>7.9</v>
      </c>
      <c r="Q47" s="1">
        <v>8.1</v>
      </c>
      <c r="R47" s="1" t="s">
        <v>285</v>
      </c>
    </row>
    <row r="48" spans="1:18">
      <c r="A48" s="1" t="s">
        <v>289</v>
      </c>
      <c r="B48" s="1" t="s">
        <v>25</v>
      </c>
      <c r="C48" s="1" t="s">
        <v>204</v>
      </c>
      <c r="D48" s="1" t="s">
        <v>290</v>
      </c>
      <c r="E48" s="1" t="s">
        <v>292</v>
      </c>
      <c r="F48" s="1" t="s">
        <v>291</v>
      </c>
      <c r="G48" s="2"/>
      <c r="H48" s="1"/>
      <c r="L48" s="1"/>
      <c r="P48" s="1"/>
      <c r="Q48" s="1"/>
      <c r="R48" s="1" t="s">
        <v>293</v>
      </c>
    </row>
    <row r="49" spans="1:19">
      <c r="A49" s="1" t="s">
        <v>34</v>
      </c>
      <c r="B49" s="1" t="s">
        <v>35</v>
      </c>
      <c r="C49" s="1" t="s">
        <v>204</v>
      </c>
      <c r="D49" s="1">
        <v>2</v>
      </c>
      <c r="E49" s="1" t="s">
        <v>52</v>
      </c>
      <c r="F49" s="1">
        <v>2014</v>
      </c>
      <c r="G49" s="1">
        <v>15</v>
      </c>
      <c r="H49" s="3">
        <v>15</v>
      </c>
      <c r="I49" s="1">
        <v>2</v>
      </c>
      <c r="J49" s="1" t="s">
        <v>277</v>
      </c>
      <c r="K49" s="1">
        <v>15.6</v>
      </c>
      <c r="L49" s="1">
        <v>15.6</v>
      </c>
      <c r="N49" s="3">
        <v>245</v>
      </c>
      <c r="P49" s="3">
        <v>7.91</v>
      </c>
      <c r="Q49" s="3">
        <v>7.87</v>
      </c>
      <c r="R49" s="1" t="s">
        <v>33</v>
      </c>
    </row>
    <row r="50" spans="1:19">
      <c r="A50" s="1" t="s">
        <v>269</v>
      </c>
      <c r="B50" s="1" t="s">
        <v>266</v>
      </c>
      <c r="C50" s="1" t="s">
        <v>204</v>
      </c>
      <c r="E50" s="1"/>
      <c r="F50" s="1">
        <v>2007</v>
      </c>
      <c r="H50" s="3"/>
      <c r="K50" s="1">
        <v>21.2</v>
      </c>
      <c r="L50" s="1">
        <v>21.2</v>
      </c>
      <c r="M50" s="1">
        <v>1.5</v>
      </c>
      <c r="P50" s="3">
        <v>8.1999999999999993</v>
      </c>
      <c r="Q50" s="3">
        <v>7.9</v>
      </c>
      <c r="R50" s="1" t="s">
        <v>267</v>
      </c>
    </row>
    <row r="51" spans="1:19">
      <c r="A51" s="1" t="s">
        <v>271</v>
      </c>
      <c r="B51" s="1" t="s">
        <v>266</v>
      </c>
      <c r="C51" s="1" t="s">
        <v>204</v>
      </c>
      <c r="E51" s="1"/>
      <c r="F51" s="1">
        <v>2007</v>
      </c>
      <c r="H51" s="3"/>
      <c r="K51" s="1">
        <v>21.5</v>
      </c>
      <c r="L51" s="1">
        <v>21.5</v>
      </c>
      <c r="M51" s="3">
        <v>0.84</v>
      </c>
      <c r="N51" s="3"/>
      <c r="P51" s="3">
        <v>7.5</v>
      </c>
      <c r="Q51" s="3">
        <v>5.8</v>
      </c>
      <c r="R51" s="1" t="s">
        <v>267</v>
      </c>
    </row>
    <row r="52" spans="1:19">
      <c r="A52" s="1" t="s">
        <v>270</v>
      </c>
      <c r="B52" s="1" t="s">
        <v>266</v>
      </c>
      <c r="C52" s="1" t="s">
        <v>204</v>
      </c>
      <c r="E52" s="1"/>
      <c r="F52" s="1">
        <v>2007</v>
      </c>
      <c r="H52" s="3"/>
      <c r="K52" s="1">
        <v>21.4</v>
      </c>
      <c r="L52" s="1">
        <v>21.4</v>
      </c>
      <c r="M52" s="3">
        <v>3</v>
      </c>
      <c r="N52" s="3"/>
      <c r="P52" s="3">
        <v>8.3000000000000007</v>
      </c>
      <c r="Q52" s="3">
        <v>8</v>
      </c>
      <c r="R52" s="1" t="s">
        <v>267</v>
      </c>
    </row>
    <row r="53" spans="1:19">
      <c r="A53" s="1" t="s">
        <v>102</v>
      </c>
      <c r="B53" s="1" t="s">
        <v>101</v>
      </c>
      <c r="C53" s="1" t="s">
        <v>204</v>
      </c>
      <c r="D53" s="1" t="s">
        <v>18</v>
      </c>
      <c r="E53" s="1" t="s">
        <v>95</v>
      </c>
      <c r="F53" s="1">
        <v>2016</v>
      </c>
      <c r="G53" s="3">
        <v>15</v>
      </c>
      <c r="H53" s="3">
        <v>15</v>
      </c>
      <c r="I53" s="1">
        <v>20</v>
      </c>
      <c r="K53" s="1">
        <v>28.5</v>
      </c>
      <c r="L53" s="1">
        <v>28.5</v>
      </c>
      <c r="P53" s="1">
        <v>7.4</v>
      </c>
      <c r="Q53" s="1">
        <v>5.4</v>
      </c>
      <c r="R53" s="1" t="s">
        <v>371</v>
      </c>
      <c r="S53" s="1" t="s">
        <v>370</v>
      </c>
    </row>
    <row r="54" spans="1:19">
      <c r="A54" s="1" t="s">
        <v>321</v>
      </c>
      <c r="B54" s="1" t="s">
        <v>101</v>
      </c>
      <c r="C54" s="1" t="s">
        <v>204</v>
      </c>
      <c r="E54" s="1"/>
      <c r="G54" s="3" t="s">
        <v>9</v>
      </c>
      <c r="H54" s="3">
        <f>(15+20)/2</f>
        <v>17.5</v>
      </c>
      <c r="L54" s="1"/>
      <c r="P54" s="1"/>
      <c r="Q54" s="1"/>
      <c r="R54" s="1" t="s">
        <v>351</v>
      </c>
    </row>
    <row r="55" spans="1:19">
      <c r="A55" s="1" t="s">
        <v>213</v>
      </c>
      <c r="B55" s="1" t="s">
        <v>212</v>
      </c>
      <c r="C55" s="1" t="s">
        <v>204</v>
      </c>
      <c r="E55" s="1" t="s">
        <v>20</v>
      </c>
      <c r="F55" s="1">
        <v>2014</v>
      </c>
      <c r="G55" s="3" t="s">
        <v>9</v>
      </c>
      <c r="H55" s="3">
        <f>(15+20)/2</f>
        <v>17.5</v>
      </c>
      <c r="K55" s="1" t="s">
        <v>265</v>
      </c>
      <c r="L55" s="3">
        <f>(26.72+25)/2</f>
        <v>25.86</v>
      </c>
      <c r="M55" s="1">
        <f>(4.5+4.5)/2</f>
        <v>4.5</v>
      </c>
      <c r="O55" s="3">
        <f>(1.657+1.4134)/2</f>
        <v>1.5352000000000001</v>
      </c>
      <c r="P55" s="3">
        <f>(7.86+8.18)/2</f>
        <v>8.02</v>
      </c>
      <c r="Q55" s="3">
        <f>(6.698+7.166)/2</f>
        <v>6.9320000000000004</v>
      </c>
      <c r="R55" s="1" t="s">
        <v>214</v>
      </c>
      <c r="S55" s="1" t="s">
        <v>370</v>
      </c>
    </row>
    <row r="56" spans="1:19">
      <c r="A56" s="1" t="s">
        <v>80</v>
      </c>
      <c r="B56" s="1" t="s">
        <v>81</v>
      </c>
      <c r="C56" s="1" t="s">
        <v>204</v>
      </c>
      <c r="D56" s="1" t="s">
        <v>26</v>
      </c>
      <c r="E56" s="1" t="s">
        <v>83</v>
      </c>
      <c r="F56" s="1">
        <v>2002</v>
      </c>
      <c r="G56" s="2" t="s">
        <v>85</v>
      </c>
      <c r="H56" s="1">
        <f>(6+15)/2</f>
        <v>10.5</v>
      </c>
      <c r="K56" s="1" t="s">
        <v>84</v>
      </c>
      <c r="L56" s="1">
        <v>30.7</v>
      </c>
      <c r="M56" s="3">
        <v>2.12</v>
      </c>
      <c r="N56" s="3"/>
      <c r="P56" s="3">
        <v>8.1199999999999992</v>
      </c>
      <c r="Q56" s="1">
        <v>8.5</v>
      </c>
      <c r="R56" s="1" t="s">
        <v>82</v>
      </c>
    </row>
    <row r="57" spans="1:19">
      <c r="A57" s="1" t="s">
        <v>313</v>
      </c>
      <c r="B57" s="1" t="s">
        <v>81</v>
      </c>
      <c r="C57" s="1" t="s">
        <v>204</v>
      </c>
      <c r="E57" s="1" t="s">
        <v>95</v>
      </c>
      <c r="F57" s="1">
        <v>2015</v>
      </c>
      <c r="G57" s="2"/>
      <c r="H57" s="1"/>
      <c r="L57" s="1"/>
      <c r="M57" s="3"/>
      <c r="N57" s="3"/>
      <c r="P57" s="3"/>
      <c r="Q57" s="1"/>
      <c r="R57" s="1" t="s">
        <v>352</v>
      </c>
      <c r="S57" s="1" t="s">
        <v>370</v>
      </c>
    </row>
    <row r="58" spans="1:19">
      <c r="A58" s="1" t="s">
        <v>15</v>
      </c>
      <c r="B58" s="1" t="s">
        <v>16</v>
      </c>
      <c r="C58" s="1" t="s">
        <v>204</v>
      </c>
      <c r="D58" s="1" t="s">
        <v>18</v>
      </c>
      <c r="E58" s="1" t="s">
        <v>20</v>
      </c>
      <c r="F58" s="1">
        <v>2013</v>
      </c>
      <c r="G58" s="1" t="s">
        <v>17</v>
      </c>
      <c r="H58" s="1">
        <f>(13+22)/2</f>
        <v>17.5</v>
      </c>
      <c r="I58" s="1" t="s">
        <v>30</v>
      </c>
      <c r="J58" s="1" t="s">
        <v>275</v>
      </c>
      <c r="K58" s="1" t="s">
        <v>19</v>
      </c>
      <c r="L58" s="3">
        <f>(22+27.5)/2</f>
        <v>24.75</v>
      </c>
      <c r="P58" s="1"/>
      <c r="Q58" s="1"/>
      <c r="R58" s="1" t="s">
        <v>13</v>
      </c>
    </row>
    <row r="59" spans="1:19">
      <c r="A59" s="1" t="s">
        <v>91</v>
      </c>
      <c r="B59" s="1" t="s">
        <v>90</v>
      </c>
      <c r="C59" s="1" t="s">
        <v>204</v>
      </c>
      <c r="D59" s="1" t="s">
        <v>26</v>
      </c>
      <c r="E59" s="1" t="s">
        <v>52</v>
      </c>
      <c r="F59" s="1">
        <v>2011</v>
      </c>
      <c r="G59" s="1">
        <v>20</v>
      </c>
      <c r="H59" s="3">
        <v>20</v>
      </c>
      <c r="K59" s="1">
        <v>25</v>
      </c>
      <c r="L59" s="3">
        <v>25</v>
      </c>
      <c r="M59" s="3">
        <v>0.84</v>
      </c>
      <c r="N59" s="3"/>
      <c r="P59" s="1"/>
      <c r="Q59" s="1">
        <v>8.6</v>
      </c>
      <c r="R59" s="1" t="s">
        <v>110</v>
      </c>
      <c r="S59" s="1" t="s">
        <v>370</v>
      </c>
    </row>
    <row r="60" spans="1:19">
      <c r="A60" s="1" t="s">
        <v>91</v>
      </c>
      <c r="B60" s="1" t="s">
        <v>90</v>
      </c>
      <c r="C60" s="1" t="s">
        <v>204</v>
      </c>
      <c r="E60" s="1" t="s">
        <v>21</v>
      </c>
      <c r="F60" s="1">
        <v>2011</v>
      </c>
      <c r="G60" s="1" t="s">
        <v>92</v>
      </c>
      <c r="H60" s="3">
        <v>35</v>
      </c>
      <c r="K60" s="1">
        <v>25.8</v>
      </c>
      <c r="L60" s="1">
        <v>25.8</v>
      </c>
      <c r="N60" s="3">
        <v>360</v>
      </c>
      <c r="P60" s="1">
        <v>8.1999999999999993</v>
      </c>
      <c r="Q60" s="1"/>
      <c r="R60" s="1" t="s">
        <v>353</v>
      </c>
    </row>
    <row r="61" spans="1:19">
      <c r="A61" s="1" t="s">
        <v>43</v>
      </c>
      <c r="B61" s="1" t="s">
        <v>5</v>
      </c>
      <c r="C61" s="1" t="s">
        <v>204</v>
      </c>
      <c r="D61" s="1" t="s">
        <v>18</v>
      </c>
      <c r="E61" s="1" t="s">
        <v>42</v>
      </c>
      <c r="F61" s="1">
        <v>2009</v>
      </c>
      <c r="G61" s="2" t="s">
        <v>44</v>
      </c>
      <c r="H61" s="1">
        <v>13.2</v>
      </c>
      <c r="I61" s="1">
        <v>30</v>
      </c>
      <c r="J61" s="1" t="s">
        <v>278</v>
      </c>
      <c r="K61" s="1">
        <f>(28.3+27.2+26.7+26.4+24.3)/5</f>
        <v>26.580000000000002</v>
      </c>
      <c r="L61" s="3">
        <v>26.58</v>
      </c>
      <c r="M61" s="1">
        <v>4</v>
      </c>
      <c r="N61" s="1">
        <f>(344+343+342+341+361)/5</f>
        <v>346.2</v>
      </c>
      <c r="P61" s="1">
        <f>(8.1+8+7.9+7.7+7.8)/5</f>
        <v>7.9</v>
      </c>
      <c r="Q61" s="3">
        <f>(8.7+9.3+9.3+9.6+11)/5</f>
        <v>9.58</v>
      </c>
      <c r="R61" s="1" t="s">
        <v>46</v>
      </c>
    </row>
    <row r="62" spans="1:19">
      <c r="A62" s="1" t="s">
        <v>10</v>
      </c>
      <c r="B62" s="1" t="s">
        <v>5</v>
      </c>
      <c r="C62" s="1" t="s">
        <v>204</v>
      </c>
      <c r="D62" s="1">
        <v>0.5</v>
      </c>
      <c r="E62" s="1" t="s">
        <v>21</v>
      </c>
      <c r="F62" s="1">
        <v>2015</v>
      </c>
      <c r="G62" s="1" t="s">
        <v>9</v>
      </c>
      <c r="H62" s="1">
        <f>(15+20)/2</f>
        <v>17.5</v>
      </c>
      <c r="I62" s="1">
        <v>3</v>
      </c>
      <c r="K62" s="1">
        <v>25</v>
      </c>
      <c r="L62" s="3">
        <v>25</v>
      </c>
      <c r="P62" s="1"/>
      <c r="Q62" s="1"/>
      <c r="R62" s="1" t="s">
        <v>354</v>
      </c>
    </row>
    <row r="63" spans="1:19">
      <c r="A63" s="1" t="s">
        <v>96</v>
      </c>
      <c r="B63" s="1" t="s">
        <v>5</v>
      </c>
      <c r="C63" s="1" t="s">
        <v>204</v>
      </c>
      <c r="D63" s="1" t="s">
        <v>142</v>
      </c>
      <c r="E63" s="1" t="s">
        <v>95</v>
      </c>
      <c r="F63" s="1">
        <v>2017</v>
      </c>
      <c r="G63" s="1" t="s">
        <v>9</v>
      </c>
      <c r="H63" s="1">
        <f>(15+20)/2</f>
        <v>17.5</v>
      </c>
      <c r="K63" s="1" t="s">
        <v>93</v>
      </c>
      <c r="L63" s="3">
        <v>16</v>
      </c>
      <c r="P63" s="1"/>
      <c r="Q63" s="1"/>
      <c r="R63" s="1" t="s">
        <v>94</v>
      </c>
    </row>
    <row r="64" spans="1:19">
      <c r="A64" s="1" t="s">
        <v>229</v>
      </c>
      <c r="B64" s="1" t="s">
        <v>228</v>
      </c>
      <c r="C64" s="1" t="s">
        <v>204</v>
      </c>
      <c r="E64" s="1" t="s">
        <v>230</v>
      </c>
      <c r="F64" s="1">
        <v>1954</v>
      </c>
      <c r="H64" s="1"/>
      <c r="I64" s="1">
        <v>150</v>
      </c>
      <c r="L64" s="3"/>
      <c r="P64" s="1"/>
      <c r="Q64" s="1"/>
      <c r="R64" s="1" t="s">
        <v>231</v>
      </c>
    </row>
    <row r="65" spans="1:19">
      <c r="A65" s="1" t="s">
        <v>299</v>
      </c>
      <c r="B65" s="1" t="s">
        <v>228</v>
      </c>
      <c r="C65" s="1" t="s">
        <v>204</v>
      </c>
      <c r="E65" s="1" t="s">
        <v>83</v>
      </c>
      <c r="F65" s="1">
        <v>1940</v>
      </c>
      <c r="H65" s="1"/>
      <c r="K65" s="3">
        <f>(((21.5+24.7)/2)+((24.5+28.7)/2)+((27.5+30.5)/2)+((26.5+29.3)/2)+((23.7+26.2)/2)+((21.3+22.3)/2))/6</f>
        <v>25.558333333333334</v>
      </c>
      <c r="L65" s="3">
        <v>25.6</v>
      </c>
      <c r="P65" s="3">
        <f>(((6.9+7.4)/2)+((6.9+7.8)/2)+((7+8.4)/2)+((7+8.4)/2)+((6.9+9)/2)+((6.9+7.6)/2))/6</f>
        <v>7.5166666666666666</v>
      </c>
      <c r="Q65" s="1"/>
      <c r="R65" s="1" t="s">
        <v>300</v>
      </c>
    </row>
    <row r="66" spans="1:19">
      <c r="A66" s="1" t="s">
        <v>77</v>
      </c>
      <c r="B66" s="1" t="s">
        <v>76</v>
      </c>
      <c r="C66" s="1" t="s">
        <v>204</v>
      </c>
      <c r="D66" s="1" t="s">
        <v>58</v>
      </c>
      <c r="E66" s="1" t="s">
        <v>20</v>
      </c>
      <c r="F66" s="1">
        <v>2016</v>
      </c>
      <c r="G66" s="2" t="s">
        <v>79</v>
      </c>
      <c r="H66" s="1">
        <f>(13+20)/2</f>
        <v>16.5</v>
      </c>
      <c r="I66" s="1">
        <v>50</v>
      </c>
      <c r="J66" s="1" t="s">
        <v>275</v>
      </c>
      <c r="K66" s="3">
        <f>(26.5+23.8)/2</f>
        <v>25.15</v>
      </c>
      <c r="L66" s="3">
        <f>(26.5+23.8)/2</f>
        <v>25.15</v>
      </c>
      <c r="M66" s="3">
        <f>(2.2+4.5)/2</f>
        <v>3.35</v>
      </c>
      <c r="N66" s="3"/>
      <c r="P66" s="1"/>
      <c r="Q66" s="1"/>
      <c r="R66" s="1" t="s">
        <v>78</v>
      </c>
    </row>
    <row r="67" spans="1:19">
      <c r="A67" s="1" t="s">
        <v>48</v>
      </c>
      <c r="B67" s="1" t="s">
        <v>47</v>
      </c>
      <c r="C67" s="1" t="s">
        <v>204</v>
      </c>
      <c r="D67" s="1" t="s">
        <v>49</v>
      </c>
      <c r="E67" s="1" t="s">
        <v>21</v>
      </c>
      <c r="F67" s="1">
        <v>2002</v>
      </c>
      <c r="G67" s="1">
        <v>14</v>
      </c>
      <c r="H67" s="3">
        <v>14</v>
      </c>
      <c r="I67" s="1" t="s">
        <v>45</v>
      </c>
      <c r="K67" s="1">
        <v>20.3</v>
      </c>
      <c r="L67" s="1">
        <v>20.3</v>
      </c>
      <c r="P67" s="1"/>
      <c r="Q67" s="1"/>
      <c r="R67" s="1" t="s">
        <v>355</v>
      </c>
    </row>
    <row r="68" spans="1:19">
      <c r="A68" s="1" t="s">
        <v>308</v>
      </c>
      <c r="B68" s="1" t="s">
        <v>307</v>
      </c>
      <c r="C68" s="1" t="s">
        <v>204</v>
      </c>
      <c r="D68" s="2" t="s">
        <v>311</v>
      </c>
      <c r="E68" s="1" t="s">
        <v>310</v>
      </c>
      <c r="F68" s="1">
        <v>2015</v>
      </c>
      <c r="G68" s="1" t="s">
        <v>312</v>
      </c>
      <c r="H68" s="3">
        <v>20</v>
      </c>
      <c r="I68" s="1">
        <v>4</v>
      </c>
      <c r="J68" s="1" t="s">
        <v>275</v>
      </c>
      <c r="K68" s="3">
        <v>20</v>
      </c>
      <c r="L68" s="3">
        <v>20</v>
      </c>
      <c r="P68" s="1"/>
      <c r="Q68" s="1"/>
      <c r="R68" s="1" t="s">
        <v>309</v>
      </c>
    </row>
    <row r="69" spans="1:19">
      <c r="A69" s="1" t="s">
        <v>67</v>
      </c>
      <c r="B69" s="1" t="s">
        <v>66</v>
      </c>
      <c r="C69" s="1" t="s">
        <v>204</v>
      </c>
      <c r="D69" s="1" t="s">
        <v>68</v>
      </c>
      <c r="E69" s="1" t="s">
        <v>63</v>
      </c>
      <c r="F69" s="1">
        <v>2006</v>
      </c>
      <c r="G69" s="2" t="s">
        <v>69</v>
      </c>
      <c r="H69" s="1">
        <f>(10+19)/2</f>
        <v>14.5</v>
      </c>
      <c r="I69" s="1">
        <v>95</v>
      </c>
      <c r="J69" s="1" t="s">
        <v>275</v>
      </c>
      <c r="K69" s="1">
        <v>27.5</v>
      </c>
      <c r="L69" s="1">
        <v>27.5</v>
      </c>
      <c r="M69" s="1">
        <v>1.5</v>
      </c>
      <c r="N69" s="1">
        <f>150/100</f>
        <v>1.5</v>
      </c>
      <c r="O69" s="3">
        <f>(3.1+4.6)/2</f>
        <v>3.8499999999999996</v>
      </c>
      <c r="P69" s="1">
        <v>7.3</v>
      </c>
      <c r="Q69" s="1">
        <v>6.5</v>
      </c>
      <c r="R69" s="1" t="s">
        <v>356</v>
      </c>
    </row>
    <row r="70" spans="1:19">
      <c r="A70" s="1" t="s">
        <v>117</v>
      </c>
      <c r="B70" s="1" t="s">
        <v>116</v>
      </c>
      <c r="C70" s="1" t="s">
        <v>203</v>
      </c>
      <c r="D70" s="2"/>
      <c r="E70" s="1" t="s">
        <v>72</v>
      </c>
      <c r="F70" s="1">
        <v>1986</v>
      </c>
      <c r="G70" s="3">
        <v>9.81</v>
      </c>
      <c r="H70" s="3">
        <v>9.81</v>
      </c>
      <c r="I70" s="1">
        <v>327</v>
      </c>
      <c r="K70" s="1">
        <v>23.6</v>
      </c>
      <c r="L70" s="1">
        <v>23.6</v>
      </c>
      <c r="M70" s="3">
        <v>0.76</v>
      </c>
      <c r="N70" s="3"/>
      <c r="O70" s="3"/>
      <c r="P70" s="3">
        <f>(7.5+7.8)/2</f>
        <v>7.65</v>
      </c>
      <c r="Q70" s="1">
        <v>5.9</v>
      </c>
      <c r="R70" s="1" t="s">
        <v>118</v>
      </c>
    </row>
    <row r="71" spans="1:19">
      <c r="A71" s="1" t="s">
        <v>151</v>
      </c>
      <c r="B71" s="1" t="s">
        <v>116</v>
      </c>
      <c r="C71" s="1" t="s">
        <v>203</v>
      </c>
      <c r="E71" s="1" t="s">
        <v>115</v>
      </c>
      <c r="F71" s="1">
        <v>1970</v>
      </c>
      <c r="G71" s="2" t="s">
        <v>152</v>
      </c>
      <c r="H71" s="3">
        <v>14</v>
      </c>
      <c r="I71" s="1">
        <v>7</v>
      </c>
      <c r="K71" s="1" t="s">
        <v>150</v>
      </c>
      <c r="L71" s="3">
        <f>(23+25.5)/2</f>
        <v>24.25</v>
      </c>
      <c r="M71" s="3"/>
      <c r="N71" s="3"/>
      <c r="P71" s="1"/>
      <c r="Q71" s="1"/>
      <c r="R71" s="1" t="s">
        <v>153</v>
      </c>
    </row>
    <row r="72" spans="1:19">
      <c r="A72" s="1" t="s">
        <v>64</v>
      </c>
      <c r="B72" s="1" t="s">
        <v>62</v>
      </c>
      <c r="C72" s="1" t="s">
        <v>204</v>
      </c>
      <c r="D72" s="1">
        <v>0.1</v>
      </c>
      <c r="E72" s="1" t="s">
        <v>63</v>
      </c>
      <c r="F72" s="1">
        <v>2012</v>
      </c>
      <c r="G72" s="1" t="s">
        <v>65</v>
      </c>
      <c r="H72" s="3">
        <v>7.29</v>
      </c>
      <c r="I72" s="1">
        <v>3</v>
      </c>
      <c r="K72" s="1">
        <v>25.3</v>
      </c>
      <c r="L72" s="1">
        <v>25.3</v>
      </c>
      <c r="P72" s="1"/>
      <c r="Q72" s="1"/>
      <c r="R72" s="1" t="s">
        <v>357</v>
      </c>
    </row>
    <row r="73" spans="1:19">
      <c r="A73" s="1" t="s">
        <v>176</v>
      </c>
      <c r="B73" s="1" t="s">
        <v>175</v>
      </c>
      <c r="C73" s="1" t="s">
        <v>204</v>
      </c>
      <c r="D73" s="2" t="s">
        <v>178</v>
      </c>
      <c r="E73" s="1" t="s">
        <v>177</v>
      </c>
      <c r="F73" s="1">
        <v>1999</v>
      </c>
      <c r="G73" s="1">
        <v>20</v>
      </c>
      <c r="H73" s="3">
        <v>20</v>
      </c>
      <c r="K73" s="1">
        <v>29</v>
      </c>
      <c r="L73" s="3">
        <v>29</v>
      </c>
      <c r="M73" s="3"/>
      <c r="N73" s="3"/>
      <c r="P73" s="1"/>
      <c r="Q73" s="1"/>
      <c r="R73" s="1" t="s">
        <v>179</v>
      </c>
    </row>
    <row r="74" spans="1:19">
      <c r="A74" s="1" t="s">
        <v>334</v>
      </c>
      <c r="B74" s="1" t="s">
        <v>175</v>
      </c>
      <c r="C74" s="1" t="s">
        <v>204</v>
      </c>
      <c r="D74" s="2"/>
      <c r="E74" s="1"/>
      <c r="F74" s="1">
        <v>2000</v>
      </c>
      <c r="H74" s="3"/>
      <c r="L74" s="3"/>
      <c r="M74" s="3"/>
      <c r="N74" s="3"/>
      <c r="P74" s="1"/>
      <c r="Q74" s="1"/>
      <c r="R74" s="1" t="s">
        <v>358</v>
      </c>
    </row>
    <row r="75" spans="1:19">
      <c r="A75" s="1" t="s">
        <v>113</v>
      </c>
      <c r="B75" s="1" t="s">
        <v>71</v>
      </c>
      <c r="C75" s="1" t="s">
        <v>203</v>
      </c>
      <c r="D75" s="2" t="s">
        <v>114</v>
      </c>
      <c r="E75" s="1" t="s">
        <v>115</v>
      </c>
      <c r="F75" s="1">
        <v>1989</v>
      </c>
      <c r="G75" s="3">
        <v>9.23</v>
      </c>
      <c r="H75" s="3">
        <v>9.23</v>
      </c>
      <c r="L75" s="1"/>
      <c r="O75" s="3"/>
      <c r="P75" s="3"/>
      <c r="Q75" s="1"/>
      <c r="R75" s="1" t="s">
        <v>359</v>
      </c>
    </row>
    <row r="76" spans="1:19">
      <c r="A76" s="1" t="s">
        <v>70</v>
      </c>
      <c r="B76" s="1" t="s">
        <v>71</v>
      </c>
      <c r="C76" s="1" t="s">
        <v>203</v>
      </c>
      <c r="D76" s="1" t="s">
        <v>111</v>
      </c>
      <c r="E76" s="1" t="s">
        <v>72</v>
      </c>
      <c r="F76" s="1">
        <v>1978</v>
      </c>
      <c r="G76" s="2" t="s">
        <v>73</v>
      </c>
      <c r="H76" s="3">
        <v>5.36</v>
      </c>
      <c r="I76" s="1">
        <v>15</v>
      </c>
      <c r="J76" s="1" t="s">
        <v>278</v>
      </c>
      <c r="K76" s="2" t="s">
        <v>74</v>
      </c>
      <c r="L76" s="3">
        <v>26</v>
      </c>
      <c r="P76" s="1"/>
      <c r="Q76" s="1"/>
      <c r="R76" s="1" t="s">
        <v>75</v>
      </c>
    </row>
    <row r="77" spans="1:19">
      <c r="A77" s="1" t="s">
        <v>51</v>
      </c>
      <c r="B77" s="1" t="s">
        <v>50</v>
      </c>
      <c r="C77" s="1" t="s">
        <v>204</v>
      </c>
      <c r="E77" s="1" t="s">
        <v>52</v>
      </c>
      <c r="F77" s="1">
        <v>1994</v>
      </c>
      <c r="G77" s="2" t="s">
        <v>54</v>
      </c>
      <c r="H77" s="1">
        <v>11.5</v>
      </c>
      <c r="I77" s="1" t="s">
        <v>45</v>
      </c>
      <c r="K77" s="3">
        <f>(27+28+28+29)/4</f>
        <v>28</v>
      </c>
      <c r="L77" s="3">
        <v>28</v>
      </c>
      <c r="P77" s="3">
        <f>(7.4+7.2+7.3+7.5)/4</f>
        <v>7.3500000000000005</v>
      </c>
      <c r="Q77" s="1"/>
      <c r="R77" s="1" t="s">
        <v>53</v>
      </c>
    </row>
    <row r="78" spans="1:19">
      <c r="A78" s="1" t="s">
        <v>108</v>
      </c>
      <c r="B78" s="1" t="s">
        <v>107</v>
      </c>
      <c r="C78" s="1" t="s">
        <v>204</v>
      </c>
      <c r="D78" s="1" t="s">
        <v>58</v>
      </c>
      <c r="E78" s="1" t="s">
        <v>63</v>
      </c>
      <c r="F78" s="1">
        <v>2004</v>
      </c>
      <c r="G78" s="2" t="s">
        <v>105</v>
      </c>
      <c r="H78" s="3">
        <v>14.75</v>
      </c>
      <c r="I78" s="1">
        <v>172</v>
      </c>
      <c r="J78" s="1" t="s">
        <v>275</v>
      </c>
      <c r="K78" s="3">
        <v>16</v>
      </c>
      <c r="L78" s="3">
        <v>16</v>
      </c>
      <c r="M78" s="3">
        <v>0.47</v>
      </c>
      <c r="N78" s="3"/>
      <c r="P78" s="1">
        <v>7.8</v>
      </c>
      <c r="Q78" s="1">
        <v>5.5</v>
      </c>
      <c r="R78" s="1" t="s">
        <v>106</v>
      </c>
      <c r="S78" s="1" t="s">
        <v>370</v>
      </c>
    </row>
    <row r="79" spans="1:19">
      <c r="A79" s="1" t="s">
        <v>364</v>
      </c>
      <c r="B79" s="1" t="s">
        <v>107</v>
      </c>
      <c r="C79" s="1" t="s">
        <v>204</v>
      </c>
      <c r="E79" s="1" t="s">
        <v>21</v>
      </c>
      <c r="F79" s="1">
        <v>2006</v>
      </c>
      <c r="G79" s="2"/>
      <c r="H79" s="3"/>
      <c r="K79" s="3">
        <v>22.5</v>
      </c>
      <c r="L79" s="3">
        <v>22.5</v>
      </c>
      <c r="M79" s="3"/>
      <c r="N79" s="3">
        <f>(0.55+1.5)/2</f>
        <v>1.0249999999999999</v>
      </c>
      <c r="P79" s="1">
        <f>(7+8)/2</f>
        <v>7.5</v>
      </c>
      <c r="Q79" s="1"/>
      <c r="R79" s="1" t="s">
        <v>365</v>
      </c>
    </row>
    <row r="80" spans="1:19">
      <c r="A80" s="1" t="s">
        <v>40</v>
      </c>
      <c r="B80" s="1" t="s">
        <v>39</v>
      </c>
      <c r="C80" s="1" t="s">
        <v>204</v>
      </c>
      <c r="E80" s="1" t="s">
        <v>21</v>
      </c>
      <c r="F80" s="1">
        <v>2008</v>
      </c>
      <c r="G80" s="1" t="s">
        <v>109</v>
      </c>
      <c r="H80" s="1">
        <v>15.5</v>
      </c>
      <c r="I80" s="1">
        <v>12</v>
      </c>
      <c r="K80" s="1">
        <v>26.9</v>
      </c>
      <c r="L80" s="1">
        <v>26.9</v>
      </c>
      <c r="P80" s="3">
        <v>8.57</v>
      </c>
      <c r="Q80" s="1">
        <v>7.3</v>
      </c>
      <c r="R80" s="1" t="s">
        <v>41</v>
      </c>
    </row>
    <row r="81" spans="1:19">
      <c r="A81" s="1" t="s">
        <v>147</v>
      </c>
      <c r="B81" s="1" t="s">
        <v>39</v>
      </c>
      <c r="C81" s="1" t="s">
        <v>204</v>
      </c>
      <c r="E81" s="1" t="s">
        <v>20</v>
      </c>
      <c r="F81" s="1">
        <v>2009</v>
      </c>
      <c r="G81" s="2" t="s">
        <v>148</v>
      </c>
      <c r="H81" s="3">
        <f>(4+11.6)/2</f>
        <v>7.8</v>
      </c>
      <c r="K81" s="1" t="s">
        <v>149</v>
      </c>
      <c r="L81" s="3">
        <v>24.3</v>
      </c>
      <c r="M81" s="3">
        <v>5.6</v>
      </c>
      <c r="N81" s="3"/>
      <c r="P81" s="1">
        <v>9.1</v>
      </c>
      <c r="Q81" s="1">
        <v>7.4</v>
      </c>
      <c r="R81" s="1" t="s">
        <v>146</v>
      </c>
    </row>
    <row r="82" spans="1:19">
      <c r="A82" s="1" t="s">
        <v>255</v>
      </c>
      <c r="B82" s="1" t="s">
        <v>39</v>
      </c>
      <c r="C82" s="1" t="s">
        <v>204</v>
      </c>
      <c r="D82" s="1" t="s">
        <v>58</v>
      </c>
      <c r="E82" s="1" t="s">
        <v>177</v>
      </c>
      <c r="F82" s="1" t="s">
        <v>257</v>
      </c>
      <c r="G82" s="2"/>
      <c r="H82" s="3"/>
      <c r="K82" s="1" t="s">
        <v>258</v>
      </c>
      <c r="L82" s="3">
        <f>(21+26)/2</f>
        <v>23.5</v>
      </c>
      <c r="M82" s="3"/>
      <c r="N82" s="3"/>
      <c r="P82" s="1">
        <f>(8.8+7.6)/2</f>
        <v>8.1999999999999993</v>
      </c>
      <c r="Q82" s="1">
        <f>(7.6+5.4)/2</f>
        <v>6.5</v>
      </c>
      <c r="R82" s="1" t="s">
        <v>256</v>
      </c>
    </row>
    <row r="83" spans="1:19">
      <c r="A83" s="1" t="s">
        <v>376</v>
      </c>
      <c r="B83" s="1" t="s">
        <v>39</v>
      </c>
      <c r="C83" s="1" t="s">
        <v>204</v>
      </c>
      <c r="D83" s="1" t="s">
        <v>58</v>
      </c>
      <c r="E83" s="1" t="s">
        <v>20</v>
      </c>
      <c r="F83" s="1">
        <v>2014</v>
      </c>
      <c r="G83" s="2"/>
      <c r="H83" s="3"/>
      <c r="K83" s="3">
        <f>(28.3+28.7+22+22.8)/4</f>
        <v>25.45</v>
      </c>
      <c r="L83" s="3">
        <f>(28.3+28.7+22+22.8)/4</f>
        <v>25.45</v>
      </c>
      <c r="M83" s="3">
        <f>(170+220+70+70)/4/100</f>
        <v>1.325</v>
      </c>
      <c r="N83" s="3">
        <f>(367+371+371+371)/4</f>
        <v>370</v>
      </c>
      <c r="O83" s="3">
        <f>(1.6+4.81+8.81+4.81)/4</f>
        <v>5.0075000000000003</v>
      </c>
      <c r="P83" s="3">
        <f>(8.45+8.38+8.37+8.36)/4</f>
        <v>8.3899999999999988</v>
      </c>
      <c r="Q83" s="3">
        <f>(7.63+7.64+8.24+8.44)/4</f>
        <v>7.9874999999999989</v>
      </c>
      <c r="R83" s="1" t="s">
        <v>377</v>
      </c>
    </row>
    <row r="84" spans="1:19">
      <c r="A84" s="1" t="s">
        <v>304</v>
      </c>
      <c r="B84" s="1" t="s">
        <v>39</v>
      </c>
      <c r="C84" s="1" t="s">
        <v>204</v>
      </c>
      <c r="E84" s="1" t="s">
        <v>52</v>
      </c>
      <c r="F84" s="1">
        <v>2018</v>
      </c>
      <c r="G84" s="2" t="s">
        <v>306</v>
      </c>
      <c r="H84" s="3">
        <f>(5+15)/2</f>
        <v>10</v>
      </c>
      <c r="K84" s="1">
        <v>20.3</v>
      </c>
      <c r="L84" s="3">
        <v>20.3</v>
      </c>
      <c r="M84" s="3">
        <v>3.6</v>
      </c>
      <c r="N84" s="3"/>
      <c r="P84" s="1">
        <v>8.8000000000000007</v>
      </c>
      <c r="Q84" s="1">
        <v>8.8000000000000007</v>
      </c>
      <c r="R84" s="1" t="s">
        <v>305</v>
      </c>
    </row>
    <row r="85" spans="1:19">
      <c r="A85" s="1" t="s">
        <v>322</v>
      </c>
      <c r="B85" s="1" t="s">
        <v>97</v>
      </c>
      <c r="C85" s="1" t="s">
        <v>204</v>
      </c>
      <c r="E85" s="1" t="s">
        <v>21</v>
      </c>
      <c r="G85" s="2"/>
      <c r="H85" s="3"/>
      <c r="L85" s="3"/>
      <c r="M85" s="3"/>
      <c r="N85" s="3"/>
      <c r="P85" s="1"/>
      <c r="Q85" s="1"/>
      <c r="R85" s="1" t="s">
        <v>323</v>
      </c>
    </row>
    <row r="86" spans="1:19">
      <c r="A86" s="1" t="s">
        <v>181</v>
      </c>
      <c r="B86" s="1" t="s">
        <v>97</v>
      </c>
      <c r="C86" s="1" t="s">
        <v>204</v>
      </c>
      <c r="E86" s="1" t="s">
        <v>21</v>
      </c>
      <c r="F86" s="1">
        <v>1997</v>
      </c>
      <c r="G86" s="1" t="s">
        <v>99</v>
      </c>
      <c r="H86" s="3">
        <v>20</v>
      </c>
      <c r="K86" s="1" t="s">
        <v>98</v>
      </c>
      <c r="L86" s="1">
        <f>(24.1+24.9)/2</f>
        <v>24.5</v>
      </c>
      <c r="P86" s="1"/>
      <c r="Q86" s="1"/>
      <c r="R86" s="1" t="s">
        <v>100</v>
      </c>
    </row>
    <row r="87" spans="1:19">
      <c r="A87" s="1" t="s">
        <v>337</v>
      </c>
      <c r="B87" s="1" t="s">
        <v>97</v>
      </c>
      <c r="C87" s="1" t="s">
        <v>204</v>
      </c>
      <c r="E87" s="1" t="s">
        <v>338</v>
      </c>
      <c r="F87" s="1">
        <v>1928</v>
      </c>
      <c r="H87" s="3"/>
      <c r="I87" s="1" t="s">
        <v>45</v>
      </c>
      <c r="J87" s="1" t="s">
        <v>277</v>
      </c>
      <c r="L87" s="1"/>
      <c r="P87" s="1"/>
      <c r="Q87" s="1"/>
      <c r="R87" s="1" t="s">
        <v>339</v>
      </c>
    </row>
    <row r="88" spans="1:19">
      <c r="A88" s="1" t="s">
        <v>337</v>
      </c>
      <c r="B88" s="1" t="s">
        <v>97</v>
      </c>
      <c r="C88" s="1" t="s">
        <v>204</v>
      </c>
      <c r="E88" s="1" t="s">
        <v>230</v>
      </c>
      <c r="F88" s="1">
        <v>1929</v>
      </c>
      <c r="H88" s="3"/>
      <c r="J88" s="1" t="s">
        <v>277</v>
      </c>
      <c r="K88" s="3">
        <f>(18.3+22.2+15.5)/3</f>
        <v>18.666666666666668</v>
      </c>
      <c r="L88" s="1">
        <v>18.7</v>
      </c>
      <c r="P88" s="1"/>
      <c r="Q88" s="1"/>
      <c r="R88" s="1" t="s">
        <v>339</v>
      </c>
    </row>
    <row r="89" spans="1:19">
      <c r="A89" s="1" t="s">
        <v>294</v>
      </c>
      <c r="B89" s="1" t="s">
        <v>132</v>
      </c>
      <c r="C89" s="1" t="s">
        <v>203</v>
      </c>
      <c r="E89" s="1" t="s">
        <v>115</v>
      </c>
      <c r="F89" s="1">
        <v>2010</v>
      </c>
      <c r="G89" s="3">
        <f>((12*10)+(45*1.74)+(6*10.7))/63</f>
        <v>4.166666666666667</v>
      </c>
      <c r="H89" s="1">
        <v>4.2</v>
      </c>
      <c r="I89" s="1">
        <f>12+45+6</f>
        <v>63</v>
      </c>
      <c r="J89" s="1" t="s">
        <v>275</v>
      </c>
      <c r="L89" s="1"/>
      <c r="P89" s="1"/>
      <c r="Q89" s="1"/>
      <c r="R89" s="1" t="s">
        <v>133</v>
      </c>
      <c r="S89" s="1" t="s">
        <v>370</v>
      </c>
    </row>
    <row r="90" spans="1:19">
      <c r="A90" s="1" t="s">
        <v>294</v>
      </c>
      <c r="B90" s="1" t="s">
        <v>132</v>
      </c>
      <c r="C90" s="1" t="s">
        <v>203</v>
      </c>
      <c r="E90" s="1" t="s">
        <v>296</v>
      </c>
      <c r="F90" s="1">
        <v>2011</v>
      </c>
      <c r="G90" s="2" t="s">
        <v>298</v>
      </c>
      <c r="H90" s="3">
        <v>2</v>
      </c>
      <c r="K90" s="3">
        <f>(28+27+28.5+27+27.5+24.5+26+27+26+23.5+22+18.5+16)/13</f>
        <v>24.73076923076923</v>
      </c>
      <c r="L90" s="3">
        <v>24.7</v>
      </c>
      <c r="P90" s="3">
        <f>(6+6+6+6+6+6+6+6+6+6+6+6)/12</f>
        <v>6</v>
      </c>
      <c r="Q90" s="1"/>
      <c r="R90" s="1" t="s">
        <v>133</v>
      </c>
      <c r="S90" s="1" t="s">
        <v>370</v>
      </c>
    </row>
    <row r="91" spans="1:19">
      <c r="A91" s="1" t="s">
        <v>294</v>
      </c>
      <c r="B91" s="1" t="s">
        <v>132</v>
      </c>
      <c r="C91" s="1" t="s">
        <v>203</v>
      </c>
      <c r="E91" s="1" t="s">
        <v>297</v>
      </c>
      <c r="F91" s="1" t="s">
        <v>295</v>
      </c>
      <c r="H91" s="1"/>
      <c r="K91" s="3">
        <f>(27+27+27+27+27+28.5+27+28+26.5+27.5+26+26.5+28+25.5)/14</f>
        <v>27.035714285714285</v>
      </c>
      <c r="L91" s="3">
        <v>27</v>
      </c>
      <c r="P91" s="1"/>
      <c r="Q91" s="1"/>
      <c r="R91" s="1" t="s">
        <v>133</v>
      </c>
      <c r="S91" s="1" t="s">
        <v>370</v>
      </c>
    </row>
    <row r="92" spans="1:19">
      <c r="A92" s="1" t="s">
        <v>326</v>
      </c>
      <c r="B92" s="1" t="s">
        <v>22</v>
      </c>
      <c r="C92" s="1" t="s">
        <v>204</v>
      </c>
      <c r="D92" s="1" t="s">
        <v>58</v>
      </c>
      <c r="E92" s="1" t="s">
        <v>52</v>
      </c>
      <c r="F92" s="1">
        <v>1916</v>
      </c>
      <c r="G92" s="1" t="s">
        <v>328</v>
      </c>
      <c r="H92" s="1">
        <v>14.5</v>
      </c>
      <c r="I92" s="1" t="s">
        <v>327</v>
      </c>
      <c r="K92" s="3"/>
      <c r="L92" s="3"/>
      <c r="P92" s="1"/>
      <c r="Q92" s="1"/>
      <c r="R92" s="1" t="s">
        <v>329</v>
      </c>
    </row>
    <row r="93" spans="1:19">
      <c r="A93" s="1" t="s">
        <v>332</v>
      </c>
      <c r="B93" s="1" t="s">
        <v>22</v>
      </c>
      <c r="C93" s="1" t="s">
        <v>204</v>
      </c>
      <c r="E93" s="1" t="s">
        <v>63</v>
      </c>
      <c r="F93" s="1">
        <v>1949</v>
      </c>
      <c r="H93" s="1"/>
      <c r="J93" s="1" t="s">
        <v>278</v>
      </c>
      <c r="K93" s="3"/>
      <c r="L93" s="3"/>
      <c r="P93" s="1"/>
      <c r="Q93" s="1"/>
      <c r="R93" s="1" t="s">
        <v>333</v>
      </c>
    </row>
    <row r="94" spans="1:19">
      <c r="A94" s="1" t="s">
        <v>182</v>
      </c>
      <c r="B94" s="1" t="s">
        <v>22</v>
      </c>
      <c r="C94" s="1" t="s">
        <v>204</v>
      </c>
      <c r="D94" s="2" t="s">
        <v>180</v>
      </c>
      <c r="E94" s="1" t="s">
        <v>21</v>
      </c>
      <c r="F94" s="1">
        <v>1978</v>
      </c>
      <c r="G94" s="1">
        <v>20</v>
      </c>
      <c r="H94" s="3">
        <v>20</v>
      </c>
      <c r="K94" s="3">
        <v>29</v>
      </c>
      <c r="L94" s="3">
        <v>29</v>
      </c>
      <c r="M94" s="1">
        <v>4.3</v>
      </c>
      <c r="P94" s="3">
        <v>7</v>
      </c>
      <c r="Q94" s="3">
        <v>10</v>
      </c>
      <c r="R94" s="1" t="s">
        <v>157</v>
      </c>
    </row>
    <row r="95" spans="1:19">
      <c r="A95" s="1" t="s">
        <v>210</v>
      </c>
      <c r="B95" s="1" t="s">
        <v>22</v>
      </c>
      <c r="C95" s="1" t="s">
        <v>204</v>
      </c>
      <c r="D95" s="2"/>
      <c r="E95" s="1" t="s">
        <v>21</v>
      </c>
      <c r="F95" s="1">
        <v>1969</v>
      </c>
      <c r="G95" s="3"/>
      <c r="H95" s="3"/>
      <c r="I95" s="1">
        <v>3</v>
      </c>
      <c r="K95" s="1">
        <v>26</v>
      </c>
      <c r="L95" s="3">
        <v>26</v>
      </c>
      <c r="M95" s="3"/>
      <c r="N95" s="3"/>
      <c r="O95" s="3"/>
      <c r="P95" s="3">
        <v>8.1</v>
      </c>
      <c r="Q95" s="1"/>
      <c r="R95" s="1" t="s">
        <v>211</v>
      </c>
    </row>
    <row r="96" spans="1:19">
      <c r="A96" s="1" t="s">
        <v>301</v>
      </c>
      <c r="B96" s="1" t="s">
        <v>22</v>
      </c>
      <c r="C96" s="1" t="s">
        <v>204</v>
      </c>
      <c r="D96" s="2"/>
      <c r="E96" s="1" t="s">
        <v>20</v>
      </c>
      <c r="G96" s="3"/>
      <c r="H96" s="3"/>
      <c r="L96" s="3"/>
      <c r="M96" s="3"/>
      <c r="N96" s="3"/>
      <c r="O96" s="3"/>
      <c r="P96" s="3"/>
      <c r="Q96" s="1"/>
      <c r="R96" s="1" t="s">
        <v>302</v>
      </c>
    </row>
    <row r="97" spans="1:18">
      <c r="A97" s="1" t="s">
        <v>272</v>
      </c>
      <c r="B97" s="1" t="s">
        <v>22</v>
      </c>
      <c r="C97" s="1" t="s">
        <v>204</v>
      </c>
      <c r="E97" s="1" t="s">
        <v>28</v>
      </c>
      <c r="F97" s="1">
        <v>1937</v>
      </c>
      <c r="G97" s="3"/>
      <c r="H97" s="3"/>
      <c r="J97" s="1" t="s">
        <v>275</v>
      </c>
      <c r="K97" s="3">
        <v>25</v>
      </c>
      <c r="L97" s="3">
        <v>25</v>
      </c>
      <c r="P97" s="1"/>
      <c r="Q97" s="1"/>
      <c r="R97" s="1" t="s">
        <v>273</v>
      </c>
    </row>
    <row r="98" spans="1:18">
      <c r="A98" s="1" t="s">
        <v>340</v>
      </c>
      <c r="B98" s="1" t="s">
        <v>22</v>
      </c>
      <c r="C98" s="1" t="s">
        <v>204</v>
      </c>
      <c r="E98" s="1" t="s">
        <v>52</v>
      </c>
      <c r="F98" s="1">
        <v>1938</v>
      </c>
      <c r="G98" s="3"/>
      <c r="H98" s="3"/>
      <c r="J98" s="1" t="s">
        <v>275</v>
      </c>
      <c r="K98" s="3"/>
      <c r="L98" s="3"/>
      <c r="P98" s="1"/>
      <c r="Q98" s="1"/>
      <c r="R98" s="1" t="s">
        <v>341</v>
      </c>
    </row>
    <row r="99" spans="1:18">
      <c r="A99" s="1" t="s">
        <v>279</v>
      </c>
      <c r="B99" s="1" t="s">
        <v>22</v>
      </c>
      <c r="C99" s="1" t="s">
        <v>204</v>
      </c>
      <c r="E99" s="1" t="s">
        <v>21</v>
      </c>
      <c r="F99" s="1">
        <v>1982</v>
      </c>
      <c r="G99" s="3"/>
      <c r="H99" s="3"/>
      <c r="K99" s="3">
        <v>29</v>
      </c>
      <c r="L99" s="3">
        <v>29</v>
      </c>
      <c r="P99" s="1">
        <v>6.3</v>
      </c>
      <c r="Q99" s="1"/>
      <c r="R99" s="1" t="s">
        <v>280</v>
      </c>
    </row>
    <row r="100" spans="1:18">
      <c r="A100" s="1" t="s">
        <v>372</v>
      </c>
      <c r="B100" s="1" t="s">
        <v>22</v>
      </c>
      <c r="C100" s="1" t="s">
        <v>204</v>
      </c>
      <c r="E100" s="1" t="s">
        <v>373</v>
      </c>
      <c r="F100" s="1">
        <v>2001</v>
      </c>
      <c r="G100" s="3"/>
      <c r="H100" s="3"/>
      <c r="I100" s="1" t="s">
        <v>327</v>
      </c>
      <c r="K100" s="3" t="s">
        <v>374</v>
      </c>
      <c r="L100" s="3">
        <f>(21+33)/2</f>
        <v>27</v>
      </c>
      <c r="M100" s="1">
        <f>(1.8+3.8)/2</f>
        <v>2.8</v>
      </c>
      <c r="N100" s="3">
        <f>(245+267)/2</f>
        <v>256</v>
      </c>
      <c r="P100" s="3">
        <f>(6.5+7.8)/2</f>
        <v>7.15</v>
      </c>
      <c r="Q100" s="3">
        <f>(5.6+8.1)/2</f>
        <v>6.85</v>
      </c>
      <c r="R100" s="1" t="s">
        <v>375</v>
      </c>
    </row>
    <row r="101" spans="1:18">
      <c r="A101" s="1" t="s">
        <v>324</v>
      </c>
      <c r="B101" s="1" t="s">
        <v>22</v>
      </c>
      <c r="C101" s="1" t="s">
        <v>204</v>
      </c>
      <c r="E101" s="1" t="s">
        <v>42</v>
      </c>
      <c r="F101" s="1">
        <v>1952</v>
      </c>
      <c r="G101" s="3" t="s">
        <v>325</v>
      </c>
      <c r="H101" s="3">
        <f>(15+18)/2</f>
        <v>16.5</v>
      </c>
      <c r="J101" s="1" t="s">
        <v>275</v>
      </c>
      <c r="K101" s="3"/>
      <c r="L101" s="3"/>
      <c r="P101" s="1"/>
      <c r="Q101" s="1"/>
      <c r="R101" s="1" t="s">
        <v>360</v>
      </c>
    </row>
    <row r="102" spans="1:18">
      <c r="A102" s="1" t="s">
        <v>330</v>
      </c>
      <c r="B102" s="1" t="s">
        <v>22</v>
      </c>
      <c r="C102" s="1" t="s">
        <v>204</v>
      </c>
      <c r="E102" s="1" t="s">
        <v>52</v>
      </c>
      <c r="G102" s="3"/>
      <c r="H102" s="3"/>
      <c r="I102" s="1" t="s">
        <v>327</v>
      </c>
      <c r="J102" s="1" t="s">
        <v>276</v>
      </c>
      <c r="K102" s="3"/>
      <c r="L102" s="3"/>
      <c r="P102" s="1"/>
      <c r="Q102" s="1"/>
      <c r="R102" s="1" t="s">
        <v>331</v>
      </c>
    </row>
    <row r="103" spans="1:18">
      <c r="A103" s="1" t="s">
        <v>119</v>
      </c>
      <c r="B103" s="1" t="s">
        <v>22</v>
      </c>
      <c r="C103" s="1" t="s">
        <v>204</v>
      </c>
      <c r="E103" s="1" t="s">
        <v>42</v>
      </c>
      <c r="F103" s="1">
        <v>1945</v>
      </c>
      <c r="G103" s="3" t="s">
        <v>120</v>
      </c>
      <c r="H103" s="3">
        <v>19.100000000000001</v>
      </c>
      <c r="K103" s="3" t="s">
        <v>121</v>
      </c>
      <c r="L103" s="3">
        <f>(23.9+26.1)/2</f>
        <v>25</v>
      </c>
      <c r="P103" s="1">
        <v>6.4</v>
      </c>
      <c r="Q103" s="1"/>
      <c r="R103" s="1" t="s">
        <v>122</v>
      </c>
    </row>
    <row r="104" spans="1:18">
      <c r="A104" s="1" t="s">
        <v>143</v>
      </c>
      <c r="B104" s="1" t="s">
        <v>22</v>
      </c>
      <c r="C104" s="1" t="s">
        <v>204</v>
      </c>
      <c r="E104" s="1" t="s">
        <v>28</v>
      </c>
      <c r="F104" s="1">
        <v>1990</v>
      </c>
      <c r="G104" s="1">
        <f>(10+15+16+17)/4</f>
        <v>14.5</v>
      </c>
      <c r="H104" s="1">
        <f>(10+15+16+17)/4</f>
        <v>14.5</v>
      </c>
      <c r="I104" s="1">
        <v>4</v>
      </c>
      <c r="K104" s="3">
        <f>(31+27.5)/2</f>
        <v>29.25</v>
      </c>
      <c r="L104" s="3">
        <f>(31+27.5)/2</f>
        <v>29.25</v>
      </c>
      <c r="O104" s="3"/>
      <c r="P104" s="3"/>
      <c r="Q104" s="1"/>
      <c r="R104" s="1" t="s">
        <v>145</v>
      </c>
    </row>
    <row r="105" spans="1:18">
      <c r="A105" s="1" t="s">
        <v>378</v>
      </c>
      <c r="B105" s="1" t="s">
        <v>22</v>
      </c>
      <c r="C105" s="1" t="s">
        <v>204</v>
      </c>
      <c r="D105" s="1" t="s">
        <v>379</v>
      </c>
      <c r="E105" s="1" t="s">
        <v>52</v>
      </c>
      <c r="F105" s="1">
        <v>1942</v>
      </c>
      <c r="H105" s="1"/>
      <c r="I105" s="1" t="s">
        <v>380</v>
      </c>
      <c r="J105" s="1" t="s">
        <v>277</v>
      </c>
      <c r="K105" s="3"/>
      <c r="L105" s="3"/>
      <c r="O105" s="3"/>
      <c r="P105" s="3"/>
      <c r="Q105" s="1"/>
      <c r="R105" s="1" t="s">
        <v>381</v>
      </c>
    </row>
    <row r="106" spans="1:18">
      <c r="A106" s="1" t="s">
        <v>123</v>
      </c>
      <c r="B106" s="1" t="s">
        <v>22</v>
      </c>
      <c r="C106" s="1" t="s">
        <v>204</v>
      </c>
      <c r="E106" s="1" t="s">
        <v>52</v>
      </c>
      <c r="F106" s="1">
        <v>1949</v>
      </c>
      <c r="G106" s="3">
        <f>(12+15)/2</f>
        <v>13.5</v>
      </c>
      <c r="H106" s="3">
        <f>(12+15)/2</f>
        <v>13.5</v>
      </c>
      <c r="I106" s="1">
        <v>37</v>
      </c>
      <c r="J106" s="1" t="s">
        <v>275</v>
      </c>
      <c r="K106" s="3">
        <v>20</v>
      </c>
      <c r="L106" s="3">
        <v>20</v>
      </c>
      <c r="P106" s="1"/>
      <c r="Q106" s="1"/>
      <c r="R106" s="1" t="s">
        <v>122</v>
      </c>
    </row>
    <row r="107" spans="1:18">
      <c r="A107" s="1" t="s">
        <v>208</v>
      </c>
      <c r="B107" s="1" t="s">
        <v>22</v>
      </c>
      <c r="C107" s="1" t="s">
        <v>204</v>
      </c>
      <c r="D107" s="2"/>
      <c r="E107" s="1" t="s">
        <v>21</v>
      </c>
      <c r="F107" s="1">
        <v>1977</v>
      </c>
      <c r="G107" s="3"/>
      <c r="H107" s="3"/>
      <c r="I107" s="1" t="s">
        <v>209</v>
      </c>
      <c r="K107" s="1">
        <v>28</v>
      </c>
      <c r="L107" s="3">
        <v>28</v>
      </c>
      <c r="M107" s="3">
        <v>2.16</v>
      </c>
      <c r="N107" s="3"/>
      <c r="O107" s="3"/>
      <c r="P107" s="3"/>
      <c r="Q107" s="1"/>
      <c r="R107" s="1" t="s">
        <v>361</v>
      </c>
    </row>
    <row r="108" spans="1:18">
      <c r="A108" s="1" t="s">
        <v>215</v>
      </c>
      <c r="B108" s="1" t="s">
        <v>22</v>
      </c>
      <c r="C108" s="1" t="s">
        <v>204</v>
      </c>
      <c r="D108" s="1" t="s">
        <v>245</v>
      </c>
      <c r="E108" s="1" t="s">
        <v>21</v>
      </c>
      <c r="F108" s="1">
        <v>1943</v>
      </c>
      <c r="G108" s="2" t="s">
        <v>216</v>
      </c>
      <c r="H108" s="1">
        <f>(7+10)/2</f>
        <v>8.5</v>
      </c>
      <c r="I108" s="1" t="s">
        <v>218</v>
      </c>
      <c r="J108" s="1" t="s">
        <v>277</v>
      </c>
      <c r="K108" s="3"/>
      <c r="L108" s="3"/>
      <c r="O108" s="3"/>
      <c r="P108" s="3"/>
      <c r="Q108" s="1"/>
      <c r="R108" s="1" t="s">
        <v>217</v>
      </c>
    </row>
    <row r="109" spans="1:18">
      <c r="A109" s="1" t="s">
        <v>223</v>
      </c>
      <c r="B109" s="1" t="s">
        <v>22</v>
      </c>
      <c r="C109" s="1" t="s">
        <v>204</v>
      </c>
      <c r="D109" s="2" t="s">
        <v>58</v>
      </c>
      <c r="E109" s="1" t="s">
        <v>20</v>
      </c>
      <c r="F109" s="1">
        <v>2009</v>
      </c>
      <c r="G109" s="1" t="s">
        <v>224</v>
      </c>
      <c r="H109" s="3">
        <v>29</v>
      </c>
      <c r="K109" s="3">
        <v>18.100000000000001</v>
      </c>
      <c r="L109" s="3">
        <v>18.100000000000001</v>
      </c>
      <c r="M109" s="3">
        <v>0.31</v>
      </c>
      <c r="N109" s="3"/>
      <c r="P109" s="3"/>
      <c r="Q109" s="3"/>
      <c r="R109" s="1" t="s">
        <v>222</v>
      </c>
    </row>
    <row r="110" spans="1:18">
      <c r="A110" s="1" t="s">
        <v>383</v>
      </c>
      <c r="B110" s="1" t="s">
        <v>22</v>
      </c>
      <c r="C110" s="1" t="s">
        <v>204</v>
      </c>
      <c r="D110" s="2"/>
      <c r="E110" s="1" t="s">
        <v>169</v>
      </c>
      <c r="F110" s="1">
        <v>1979</v>
      </c>
      <c r="H110" s="3"/>
      <c r="K110" s="3" t="s">
        <v>384</v>
      </c>
      <c r="L110" s="3">
        <v>29.5</v>
      </c>
      <c r="M110" s="3"/>
      <c r="N110" s="3"/>
      <c r="P110" s="3">
        <v>7.85</v>
      </c>
      <c r="Q110" s="3">
        <v>7.85</v>
      </c>
      <c r="R110" s="1" t="s">
        <v>385</v>
      </c>
    </row>
    <row r="111" spans="1:18">
      <c r="A111" s="1" t="s">
        <v>382</v>
      </c>
      <c r="B111" s="1" t="s">
        <v>22</v>
      </c>
      <c r="C111" s="1" t="s">
        <v>204</v>
      </c>
      <c r="D111" s="2" t="s">
        <v>130</v>
      </c>
      <c r="E111" s="1" t="s">
        <v>129</v>
      </c>
      <c r="F111" s="1">
        <v>1979</v>
      </c>
      <c r="G111" s="3" t="s">
        <v>131</v>
      </c>
      <c r="H111" s="3">
        <v>16</v>
      </c>
      <c r="J111" s="1" t="s">
        <v>275</v>
      </c>
      <c r="K111" s="3">
        <v>30</v>
      </c>
      <c r="L111" s="3">
        <v>30</v>
      </c>
      <c r="M111" s="3">
        <v>2.6</v>
      </c>
      <c r="N111" s="3"/>
      <c r="O111" s="3"/>
      <c r="P111" s="3">
        <v>8.5</v>
      </c>
      <c r="Q111" s="1">
        <v>6.5</v>
      </c>
      <c r="R111" s="1" t="s">
        <v>362</v>
      </c>
    </row>
    <row r="112" spans="1:18">
      <c r="A112" s="1" t="s">
        <v>220</v>
      </c>
      <c r="B112" s="1" t="s">
        <v>22</v>
      </c>
      <c r="C112" s="1" t="s">
        <v>204</v>
      </c>
      <c r="E112" s="1" t="s">
        <v>21</v>
      </c>
      <c r="F112" s="1">
        <v>1960</v>
      </c>
      <c r="G112" s="3" t="s">
        <v>221</v>
      </c>
      <c r="H112" s="3">
        <f>(3+3+5)/3</f>
        <v>3.6666666666666665</v>
      </c>
      <c r="I112" s="1">
        <v>3</v>
      </c>
      <c r="J112" s="1" t="s">
        <v>278</v>
      </c>
      <c r="K112" s="3"/>
      <c r="L112" s="3"/>
      <c r="P112" s="1"/>
      <c r="Q112" s="1"/>
      <c r="R112" s="1" t="s">
        <v>219</v>
      </c>
    </row>
    <row r="113" spans="1:19">
      <c r="A113" s="1" t="s">
        <v>244</v>
      </c>
      <c r="B113" s="1" t="s">
        <v>22</v>
      </c>
      <c r="C113" s="1" t="s">
        <v>204</v>
      </c>
      <c r="E113" s="1" t="s">
        <v>52</v>
      </c>
      <c r="F113" s="1">
        <v>2009</v>
      </c>
      <c r="G113" s="2" t="s">
        <v>207</v>
      </c>
      <c r="H113" s="3">
        <v>13.5</v>
      </c>
      <c r="I113" s="1">
        <v>4</v>
      </c>
      <c r="L113" s="3"/>
      <c r="M113" s="3"/>
      <c r="N113" s="3"/>
      <c r="P113" s="1"/>
      <c r="Q113" s="1"/>
      <c r="R113" s="1" t="s">
        <v>206</v>
      </c>
      <c r="S113" s="1" t="s">
        <v>370</v>
      </c>
    </row>
    <row r="114" spans="1:19">
      <c r="A114" s="1" t="s">
        <v>185</v>
      </c>
      <c r="B114" s="1" t="s">
        <v>22</v>
      </c>
      <c r="C114" s="1" t="s">
        <v>204</v>
      </c>
      <c r="E114" s="1" t="s">
        <v>187</v>
      </c>
      <c r="F114" s="1">
        <v>1983</v>
      </c>
      <c r="G114" s="3"/>
      <c r="H114" s="3"/>
      <c r="I114" s="1">
        <v>616</v>
      </c>
      <c r="J114" s="1" t="s">
        <v>276</v>
      </c>
      <c r="K114" s="3" t="s">
        <v>188</v>
      </c>
      <c r="L114" s="3">
        <f>(20+24)/2</f>
        <v>22</v>
      </c>
      <c r="P114" s="1">
        <f>(6.4+6.8)/2</f>
        <v>6.6</v>
      </c>
      <c r="Q114" s="1">
        <f>(8.8+9)/2</f>
        <v>8.9</v>
      </c>
      <c r="R114" s="1" t="s">
        <v>186</v>
      </c>
    </row>
    <row r="115" spans="1:19">
      <c r="A115" s="1" t="s">
        <v>262</v>
      </c>
      <c r="B115" s="1" t="s">
        <v>22</v>
      </c>
      <c r="C115" s="1" t="s">
        <v>204</v>
      </c>
      <c r="E115" s="1" t="s">
        <v>263</v>
      </c>
      <c r="F115" s="1">
        <v>1928</v>
      </c>
      <c r="G115" s="3"/>
      <c r="H115" s="3"/>
      <c r="J115" s="1" t="s">
        <v>277</v>
      </c>
      <c r="K115" s="1">
        <v>29.4</v>
      </c>
      <c r="L115" s="1">
        <v>29.4</v>
      </c>
      <c r="O115" s="3"/>
      <c r="P115" s="3">
        <v>7.2</v>
      </c>
      <c r="Q115" s="1"/>
      <c r="R115" s="1" t="s">
        <v>264</v>
      </c>
    </row>
    <row r="116" spans="1:19">
      <c r="A116" s="1" t="s">
        <v>225</v>
      </c>
      <c r="B116" s="1" t="s">
        <v>22</v>
      </c>
      <c r="C116" s="1" t="s">
        <v>204</v>
      </c>
      <c r="D116" s="2"/>
      <c r="E116" s="1" t="s">
        <v>169</v>
      </c>
      <c r="F116" s="1">
        <v>1991</v>
      </c>
      <c r="G116" s="2" t="s">
        <v>85</v>
      </c>
      <c r="H116" s="3">
        <f>(6+15)/2</f>
        <v>10.5</v>
      </c>
      <c r="I116" s="1">
        <v>48</v>
      </c>
      <c r="K116" s="3" t="s">
        <v>227</v>
      </c>
      <c r="L116" s="3">
        <f>(26+27)/2</f>
        <v>26.5</v>
      </c>
      <c r="P116" s="3"/>
      <c r="Q116" s="3"/>
      <c r="R116" s="1" t="s">
        <v>226</v>
      </c>
    </row>
    <row r="117" spans="1:19">
      <c r="A117" s="1" t="s">
        <v>386</v>
      </c>
      <c r="B117" s="1" t="s">
        <v>22</v>
      </c>
      <c r="C117" s="1" t="s">
        <v>204</v>
      </c>
      <c r="D117" s="2"/>
      <c r="E117" s="1" t="s">
        <v>20</v>
      </c>
      <c r="F117" s="1">
        <v>1995</v>
      </c>
      <c r="G117" s="2" t="s">
        <v>387</v>
      </c>
      <c r="H117" s="3">
        <v>13.5</v>
      </c>
      <c r="K117" s="3">
        <v>30</v>
      </c>
      <c r="L117" s="3">
        <v>30</v>
      </c>
      <c r="N117" s="1">
        <v>100.5</v>
      </c>
      <c r="P117" s="3">
        <v>7</v>
      </c>
      <c r="Q117" s="3">
        <v>8.1</v>
      </c>
      <c r="R117" s="1" t="s">
        <v>388</v>
      </c>
    </row>
    <row r="118" spans="1:19">
      <c r="A118" s="1" t="s">
        <v>144</v>
      </c>
      <c r="B118" s="1" t="s">
        <v>22</v>
      </c>
      <c r="C118" s="1" t="s">
        <v>204</v>
      </c>
      <c r="E118" s="1" t="s">
        <v>21</v>
      </c>
      <c r="F118" s="1">
        <v>1990</v>
      </c>
      <c r="G118" s="3">
        <f>(8+12+12+15)/4</f>
        <v>11.75</v>
      </c>
      <c r="H118" s="3">
        <f>(8+12+12+15)/4</f>
        <v>11.75</v>
      </c>
      <c r="I118" s="1">
        <v>4</v>
      </c>
      <c r="K118" s="1">
        <v>28.5</v>
      </c>
      <c r="L118" s="1">
        <v>28.5</v>
      </c>
      <c r="O118" s="3"/>
      <c r="P118" s="3"/>
      <c r="Q118" s="1"/>
      <c r="R118" s="1" t="s">
        <v>145</v>
      </c>
    </row>
    <row r="119" spans="1:19">
      <c r="A119" s="1" t="s">
        <v>343</v>
      </c>
      <c r="B119" s="1" t="s">
        <v>342</v>
      </c>
      <c r="C119" s="1" t="s">
        <v>203</v>
      </c>
      <c r="E119" s="1"/>
      <c r="G119" s="3"/>
      <c r="H119" s="3"/>
      <c r="L119" s="1"/>
      <c r="O119" s="3"/>
      <c r="P119" s="3"/>
      <c r="Q119" s="1"/>
      <c r="R119" s="1" t="s">
        <v>363</v>
      </c>
    </row>
    <row r="120" spans="1:19">
      <c r="C120" s="1"/>
      <c r="E120" s="1"/>
      <c r="H120" s="1"/>
      <c r="L120" s="5"/>
      <c r="O120" s="3"/>
      <c r="P120" s="5"/>
    </row>
    <row r="121" spans="1:19">
      <c r="C121" s="1"/>
      <c r="E121" s="1"/>
      <c r="H121" s="1"/>
      <c r="L121" s="5"/>
      <c r="N121" s="3"/>
    </row>
    <row r="122" spans="1:19">
      <c r="C122" s="1"/>
      <c r="E122" s="1"/>
      <c r="H122" s="1"/>
      <c r="M122" s="3"/>
      <c r="N122" s="3"/>
    </row>
    <row r="123" spans="1:19">
      <c r="C123" s="1"/>
      <c r="E123" s="1"/>
      <c r="H123" s="1"/>
    </row>
    <row r="124" spans="1:19">
      <c r="C124" s="1"/>
      <c r="E124" s="1"/>
      <c r="H124" s="1"/>
      <c r="P124" s="1"/>
      <c r="Q124" s="1"/>
    </row>
    <row r="125" spans="1:19">
      <c r="C125" s="1"/>
      <c r="E125" s="1"/>
      <c r="H125" s="1"/>
      <c r="P125" s="1"/>
      <c r="Q125" s="1"/>
    </row>
    <row r="126" spans="1:19">
      <c r="C126" s="1"/>
      <c r="E126" s="1"/>
      <c r="H126" s="1"/>
      <c r="P126" s="1"/>
      <c r="Q126" s="1"/>
    </row>
    <row r="127" spans="1:19">
      <c r="C127" s="1"/>
      <c r="E127" s="1"/>
      <c r="H127" s="1"/>
      <c r="P127" s="1"/>
      <c r="Q127" s="1"/>
    </row>
    <row r="128" spans="1:19">
      <c r="C128" s="1"/>
      <c r="E128" s="1"/>
      <c r="H128" s="1"/>
      <c r="P128" s="1"/>
      <c r="Q128" s="1"/>
    </row>
    <row r="129" spans="3:17">
      <c r="C129" s="1"/>
      <c r="E129" s="1"/>
      <c r="H129" s="1"/>
    </row>
    <row r="130" spans="3:17">
      <c r="C130" s="1"/>
      <c r="E130" s="1"/>
      <c r="H130" s="1"/>
      <c r="P130" s="1"/>
      <c r="Q130" s="1"/>
    </row>
    <row r="136" spans="3:17">
      <c r="J136" s="3"/>
      <c r="P136" s="1"/>
      <c r="Q136" s="1"/>
    </row>
    <row r="137" spans="3:17">
      <c r="J137" s="3"/>
      <c r="P137" s="1"/>
      <c r="Q137" s="1"/>
    </row>
    <row r="138" spans="3:17">
      <c r="J138" s="3"/>
      <c r="P138" s="1"/>
      <c r="Q138" s="1"/>
    </row>
    <row r="139" spans="3:17">
      <c r="J139" s="3"/>
      <c r="P139" s="1"/>
      <c r="Q139" s="1"/>
    </row>
    <row r="148" spans="6:7" s="1" customFormat="1">
      <c r="F148" s="3"/>
      <c r="G148" s="3"/>
    </row>
  </sheetData>
  <sortState ref="A2:R116">
    <sortCondition ref="B2:B116"/>
    <sortCondition ref="A2:A116"/>
  </sortState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 page</vt:lpstr>
      <vt:lpstr>Craspedacusta_Table_S1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</dc:creator>
  <cp:lastModifiedBy>Matthias D</cp:lastModifiedBy>
  <dcterms:created xsi:type="dcterms:W3CDTF">2020-03-25T01:11:45Z</dcterms:created>
  <dcterms:modified xsi:type="dcterms:W3CDTF">2021-05-27T07:59:42Z</dcterms:modified>
</cp:coreProperties>
</file>