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autoCompressPictures="0"/>
  <mc:AlternateContent xmlns:mc="http://schemas.openxmlformats.org/markup-compatibility/2006">
    <mc:Choice Requires="x15">
      <x15ac:absPath xmlns:x15ac="http://schemas.microsoft.com/office/spreadsheetml/2010/11/ac" url="C:\Users\Win10\Desktop\Work\Doing\"/>
    </mc:Choice>
  </mc:AlternateContent>
  <xr:revisionPtr revIDLastSave="0" documentId="13_ncr:1_{669E358C-6064-413D-8661-A750E27509AE}" xr6:coauthVersionLast="47" xr6:coauthVersionMax="47" xr10:uidLastSave="{00000000-0000-0000-0000-000000000000}"/>
  <bookViews>
    <workbookView xWindow="1260" yWindow="408" windowWidth="18900" windowHeight="9816" xr2:uid="{00000000-000D-0000-FFFF-FFFF00000000}"/>
  </bookViews>
  <sheets>
    <sheet name="Cover page" sheetId="5" r:id="rId1"/>
    <sheet name="Table S1" sheetId="1" r:id="rId2"/>
    <sheet name="Table S1 Literature Cited" sheetId="2" r:id="rId3"/>
    <sheet name="Table S2" sheetId="3" r:id="rId4"/>
    <sheet name="Table S2 Literature Cited" sheetId="6" r:id="rId5"/>
    <sheet name="Table S3" sheetId="4" r:id="rId6"/>
  </sheets>
  <definedNames>
    <definedName name="_xlnm._FilterDatabase" localSheetId="1" hidden="1">'Table S1'!$A$2:$AI$122</definedName>
  </definedNames>
  <calcPr calcId="191029"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AG20" i="3" l="1"/>
  <c r="AJ20" i="3"/>
  <c r="AB20" i="3"/>
  <c r="AF20" i="3"/>
  <c r="AE20" i="3"/>
  <c r="W20" i="3"/>
  <c r="U20" i="3"/>
  <c r="N20" i="3"/>
  <c r="Q20" i="3"/>
  <c r="P20" i="3"/>
  <c r="F20" i="3"/>
  <c r="AM19" i="3"/>
  <c r="AG19" i="3"/>
  <c r="AJ19" i="3"/>
  <c r="AB19" i="3"/>
  <c r="AF19" i="3"/>
  <c r="AE19" i="3"/>
  <c r="AA19" i="3"/>
  <c r="W19" i="3"/>
  <c r="U19" i="3"/>
  <c r="L19" i="3"/>
  <c r="M19" i="3"/>
  <c r="N19" i="3"/>
  <c r="Q19" i="3"/>
  <c r="P19" i="3"/>
  <c r="F19" i="3"/>
  <c r="AM18" i="3"/>
  <c r="AB18" i="3"/>
  <c r="AG18" i="3"/>
  <c r="AJ18" i="3"/>
  <c r="AF18" i="3"/>
  <c r="AE18" i="3"/>
  <c r="L18" i="3"/>
  <c r="M18" i="3"/>
  <c r="N18" i="3"/>
  <c r="Q18" i="3"/>
  <c r="P18" i="3"/>
  <c r="F18" i="3"/>
  <c r="AM17" i="3"/>
  <c r="AB17" i="3"/>
  <c r="AG17" i="3"/>
  <c r="AJ17" i="3"/>
  <c r="AF17" i="3"/>
  <c r="AE17" i="3"/>
  <c r="L17" i="3"/>
  <c r="M17" i="3"/>
  <c r="N17" i="3"/>
  <c r="Q17" i="3"/>
  <c r="P17" i="3"/>
  <c r="F17" i="3"/>
  <c r="AM16" i="3"/>
  <c r="AB16" i="3"/>
  <c r="AG16" i="3"/>
  <c r="AJ16" i="3"/>
  <c r="AF16" i="3"/>
  <c r="AE16" i="3"/>
  <c r="L16" i="3"/>
  <c r="M16" i="3"/>
  <c r="N16" i="3"/>
  <c r="Q16" i="3"/>
  <c r="P16" i="3"/>
  <c r="F16" i="3"/>
  <c r="AM15" i="3"/>
  <c r="AG15" i="3"/>
  <c r="AJ15" i="3"/>
  <c r="AB15" i="3"/>
  <c r="AF15" i="3"/>
  <c r="AE15" i="3"/>
  <c r="W15" i="3"/>
  <c r="U15" i="3"/>
  <c r="L15" i="3"/>
  <c r="M15" i="3"/>
  <c r="N15" i="3"/>
  <c r="Q15" i="3"/>
  <c r="P15" i="3"/>
  <c r="F15" i="3"/>
  <c r="AM14" i="3"/>
  <c r="AG14" i="3"/>
  <c r="AJ14" i="3"/>
  <c r="AB14" i="3"/>
  <c r="AF14" i="3"/>
  <c r="AE14" i="3"/>
  <c r="W14" i="3"/>
  <c r="U14" i="3"/>
  <c r="L14" i="3"/>
  <c r="M14" i="3"/>
  <c r="N14" i="3"/>
  <c r="Q14" i="3"/>
  <c r="P14" i="3"/>
  <c r="F14" i="3"/>
  <c r="AM13" i="3"/>
  <c r="AB13" i="3"/>
  <c r="AG13" i="3"/>
  <c r="AJ13" i="3"/>
  <c r="AF13" i="3"/>
  <c r="AE13" i="3"/>
  <c r="N13" i="3"/>
  <c r="Q13" i="3"/>
  <c r="P13" i="3"/>
  <c r="F13" i="3"/>
  <c r="AM12" i="3"/>
  <c r="AB12" i="3"/>
  <c r="AG12" i="3"/>
  <c r="AJ12" i="3"/>
  <c r="AF12" i="3"/>
  <c r="AE12" i="3"/>
  <c r="N12" i="3"/>
  <c r="Q12" i="3"/>
  <c r="P12" i="3"/>
  <c r="F12" i="3"/>
  <c r="AJ11" i="3"/>
  <c r="AB11" i="3"/>
  <c r="AF11" i="3"/>
  <c r="AE11" i="3"/>
  <c r="L11" i="3"/>
  <c r="M11" i="3"/>
  <c r="N11" i="3"/>
  <c r="Q11" i="3"/>
  <c r="P11" i="3"/>
  <c r="I11" i="3"/>
  <c r="F11" i="3"/>
  <c r="AJ10" i="3"/>
  <c r="AB10" i="3"/>
  <c r="AF10" i="3"/>
  <c r="AE10" i="3"/>
  <c r="L10" i="3"/>
  <c r="M10" i="3"/>
  <c r="N10" i="3"/>
  <c r="Q10" i="3"/>
  <c r="P10" i="3"/>
  <c r="I10" i="3"/>
  <c r="F10" i="3"/>
  <c r="AG9" i="3"/>
  <c r="AJ9" i="3"/>
  <c r="AB9" i="3"/>
  <c r="AF9" i="3"/>
  <c r="AE9" i="3"/>
  <c r="W9" i="3"/>
  <c r="U9" i="3"/>
  <c r="N9" i="3"/>
  <c r="Q9" i="3"/>
  <c r="P9" i="3"/>
  <c r="AG8" i="3"/>
  <c r="AJ8" i="3"/>
  <c r="AB8" i="3"/>
  <c r="AF8" i="3"/>
  <c r="AE8" i="3"/>
  <c r="W8" i="3"/>
  <c r="L8" i="3"/>
  <c r="M8" i="3"/>
  <c r="N8" i="3"/>
  <c r="Q8" i="3"/>
  <c r="P8" i="3"/>
  <c r="F8" i="3"/>
  <c r="AM7" i="3"/>
  <c r="AJ7" i="3"/>
  <c r="AB7" i="3"/>
  <c r="AF7" i="3"/>
  <c r="AE7" i="3"/>
  <c r="Q7" i="3"/>
  <c r="P7" i="3"/>
  <c r="I7" i="3"/>
  <c r="F7" i="3"/>
  <c r="AG6" i="3"/>
  <c r="AJ6" i="3"/>
  <c r="AF6" i="3"/>
  <c r="AE6" i="3"/>
  <c r="W6" i="3"/>
  <c r="Q6" i="3"/>
  <c r="P6" i="3"/>
  <c r="F6" i="3"/>
  <c r="AG5" i="3"/>
  <c r="AJ5" i="3"/>
  <c r="AF5" i="3"/>
  <c r="AE5" i="3"/>
  <c r="W5" i="3"/>
  <c r="Q5" i="3"/>
  <c r="P5" i="3"/>
  <c r="F5" i="3"/>
  <c r="AG4" i="3"/>
  <c r="AJ4" i="3"/>
  <c r="AF4" i="3"/>
  <c r="AE4" i="3"/>
  <c r="L4" i="3"/>
  <c r="M4" i="3"/>
  <c r="N4" i="3"/>
  <c r="Q4" i="3"/>
  <c r="P4" i="3"/>
  <c r="F4" i="3"/>
  <c r="AG3" i="3"/>
  <c r="AJ3" i="3"/>
  <c r="AF3" i="3"/>
  <c r="AE3" i="3"/>
  <c r="L3" i="3"/>
  <c r="M3" i="3"/>
  <c r="N3" i="3"/>
  <c r="Q3" i="3"/>
  <c r="P3" i="3"/>
  <c r="F3" i="3"/>
  <c r="T9" i="1"/>
  <c r="Y9" i="1"/>
  <c r="T8" i="1"/>
  <c r="Y8" i="1"/>
  <c r="X9" i="1"/>
  <c r="X8" i="1"/>
  <c r="X76" i="1"/>
  <c r="T76" i="1"/>
  <c r="Y76" i="1"/>
  <c r="Z76" i="1"/>
  <c r="Q38" i="1"/>
  <c r="Q22" i="1"/>
  <c r="Z16" i="1"/>
  <c r="I94" i="1"/>
  <c r="I39" i="1"/>
  <c r="Z105" i="1"/>
  <c r="R104" i="1"/>
  <c r="Q49" i="1"/>
  <c r="I12" i="1"/>
  <c r="Z5" i="1"/>
  <c r="X5" i="1"/>
  <c r="T5" i="1"/>
  <c r="I3" i="1"/>
  <c r="X39" i="1"/>
  <c r="F76" i="1"/>
  <c r="S61" i="1"/>
  <c r="S60" i="1"/>
  <c r="Q61" i="1"/>
  <c r="Q60" i="1"/>
  <c r="S54" i="1"/>
  <c r="S53" i="1"/>
  <c r="S52" i="1"/>
  <c r="S51" i="1"/>
  <c r="Q58" i="1"/>
  <c r="S58" i="1"/>
  <c r="Q59" i="1"/>
  <c r="S59" i="1"/>
  <c r="S50" i="1"/>
  <c r="S49" i="1"/>
  <c r="T49" i="1"/>
  <c r="Y49" i="1"/>
  <c r="Q51" i="1"/>
  <c r="F118" i="1"/>
  <c r="X118" i="1"/>
  <c r="T118" i="1"/>
  <c r="Y118" i="1"/>
  <c r="F121" i="1"/>
  <c r="X121" i="1"/>
  <c r="T121" i="1"/>
  <c r="Y121" i="1"/>
  <c r="X97" i="1"/>
  <c r="T97" i="1"/>
  <c r="Y97" i="1"/>
  <c r="F97" i="1"/>
  <c r="I98" i="1"/>
  <c r="I85" i="1"/>
  <c r="I84" i="1"/>
  <c r="M84" i="1"/>
  <c r="M85" i="1"/>
  <c r="Q85" i="1"/>
  <c r="R85" i="1"/>
  <c r="Q84" i="1"/>
  <c r="R84" i="1"/>
  <c r="R74" i="1"/>
  <c r="Q74" i="1"/>
  <c r="Q52" i="1"/>
  <c r="Q53" i="1"/>
  <c r="M50" i="1"/>
  <c r="I46" i="1"/>
  <c r="M41" i="1"/>
  <c r="R44" i="1"/>
  <c r="X44" i="1"/>
  <c r="R41" i="1"/>
  <c r="X41" i="1"/>
  <c r="R37" i="1"/>
  <c r="X37" i="1"/>
  <c r="R36" i="1"/>
  <c r="X36" i="1"/>
  <c r="R35" i="1"/>
  <c r="X35" i="1"/>
  <c r="R34" i="1"/>
  <c r="X34" i="1"/>
  <c r="R33" i="1"/>
  <c r="X33" i="1"/>
  <c r="R32" i="1"/>
  <c r="X32" i="1"/>
  <c r="R31" i="1"/>
  <c r="X31" i="1"/>
  <c r="R30" i="1"/>
  <c r="X30" i="1"/>
  <c r="R29" i="1"/>
  <c r="X29" i="1"/>
  <c r="R26" i="1"/>
  <c r="Q26" i="1"/>
  <c r="M26" i="1"/>
  <c r="R20" i="1"/>
  <c r="R23" i="1"/>
  <c r="X23" i="1"/>
  <c r="Z21" i="1"/>
  <c r="R21" i="1"/>
  <c r="T21" i="1"/>
  <c r="Y21" i="1"/>
  <c r="Z20" i="1"/>
  <c r="X20" i="1"/>
  <c r="T20" i="1"/>
  <c r="Y20" i="1"/>
  <c r="X18" i="1"/>
  <c r="T18" i="1"/>
  <c r="Y18" i="1"/>
  <c r="Z90" i="1"/>
  <c r="X90" i="1"/>
  <c r="T90" i="1"/>
  <c r="Y90" i="1"/>
  <c r="F90" i="1"/>
  <c r="Z92" i="1"/>
  <c r="X92" i="1"/>
  <c r="T92" i="1"/>
  <c r="Y92" i="1"/>
  <c r="F92" i="1"/>
  <c r="X91" i="1"/>
  <c r="F91" i="1"/>
  <c r="Z39" i="1"/>
  <c r="F39" i="1"/>
  <c r="X87" i="1"/>
  <c r="T87" i="1"/>
  <c r="Y87" i="1"/>
  <c r="F87" i="1"/>
  <c r="S122" i="1"/>
  <c r="R122" i="1"/>
  <c r="X122" i="1"/>
  <c r="Q122" i="1"/>
  <c r="M122" i="1"/>
  <c r="F122" i="1"/>
  <c r="X120" i="1"/>
  <c r="T120" i="1"/>
  <c r="Y120" i="1"/>
  <c r="F120" i="1"/>
  <c r="Z119" i="1"/>
  <c r="X119" i="1"/>
  <c r="T119" i="1"/>
  <c r="Y119" i="1"/>
  <c r="F119" i="1"/>
  <c r="X117" i="1"/>
  <c r="T117" i="1"/>
  <c r="Y117" i="1"/>
  <c r="F117" i="1"/>
  <c r="X116" i="1"/>
  <c r="T116" i="1"/>
  <c r="Y116" i="1"/>
  <c r="F116" i="1"/>
  <c r="X115" i="1"/>
  <c r="T115" i="1"/>
  <c r="Y115" i="1"/>
  <c r="I115" i="1"/>
  <c r="F115" i="1"/>
  <c r="Z114" i="1"/>
  <c r="X114" i="1"/>
  <c r="T114" i="1"/>
  <c r="Y114" i="1"/>
  <c r="F114" i="1"/>
  <c r="S113" i="1"/>
  <c r="R113" i="1"/>
  <c r="X113" i="1"/>
  <c r="Q113" i="1"/>
  <c r="M113" i="1"/>
  <c r="F113" i="1"/>
  <c r="Z112" i="1"/>
  <c r="X112" i="1"/>
  <c r="T112" i="1"/>
  <c r="Y112" i="1"/>
  <c r="M112" i="1"/>
  <c r="F112" i="1"/>
  <c r="X111" i="1"/>
  <c r="T111" i="1"/>
  <c r="Y111" i="1"/>
  <c r="I111" i="1"/>
  <c r="F111" i="1"/>
  <c r="X110" i="1"/>
  <c r="T110" i="1"/>
  <c r="Y110" i="1"/>
  <c r="I110" i="1"/>
  <c r="F110" i="1"/>
  <c r="X109" i="1"/>
  <c r="T109" i="1"/>
  <c r="Y109" i="1"/>
  <c r="I109" i="1"/>
  <c r="F109" i="1"/>
  <c r="X107" i="1"/>
  <c r="T107" i="1"/>
  <c r="Y107" i="1"/>
  <c r="I107" i="1"/>
  <c r="F107" i="1"/>
  <c r="X108" i="1"/>
  <c r="T108" i="1"/>
  <c r="Y108" i="1"/>
  <c r="F108" i="1"/>
  <c r="X106" i="1"/>
  <c r="T106" i="1"/>
  <c r="Y106" i="1"/>
  <c r="F106" i="1"/>
  <c r="X105" i="1"/>
  <c r="T105" i="1"/>
  <c r="Y105" i="1"/>
  <c r="M105" i="1"/>
  <c r="F105" i="1"/>
  <c r="S104" i="1"/>
  <c r="Q104" i="1"/>
  <c r="F104" i="1"/>
  <c r="X103" i="1"/>
  <c r="T103" i="1"/>
  <c r="Y103" i="1"/>
  <c r="F103" i="1"/>
  <c r="X102" i="1"/>
  <c r="T102" i="1"/>
  <c r="Y102" i="1"/>
  <c r="F102" i="1"/>
  <c r="S101" i="1"/>
  <c r="R101" i="1"/>
  <c r="X101" i="1"/>
  <c r="Q101" i="1"/>
  <c r="I101" i="1"/>
  <c r="F101" i="1"/>
  <c r="S100" i="1"/>
  <c r="R100" i="1"/>
  <c r="X100" i="1"/>
  <c r="Q100" i="1"/>
  <c r="I100" i="1"/>
  <c r="F100" i="1"/>
  <c r="X99" i="1"/>
  <c r="T99" i="1"/>
  <c r="Y99" i="1"/>
  <c r="F99" i="1"/>
  <c r="X98" i="1"/>
  <c r="T98" i="1"/>
  <c r="Y98" i="1"/>
  <c r="F98" i="1"/>
  <c r="Z96" i="1"/>
  <c r="S96" i="1"/>
  <c r="R96" i="1"/>
  <c r="Q96" i="1"/>
  <c r="M96" i="1"/>
  <c r="F96" i="1"/>
  <c r="X95" i="1"/>
  <c r="T95" i="1"/>
  <c r="Y95" i="1"/>
  <c r="I95" i="1"/>
  <c r="F95" i="1"/>
  <c r="X94" i="1"/>
  <c r="T94" i="1"/>
  <c r="Y94" i="1"/>
  <c r="F94" i="1"/>
  <c r="X93" i="1"/>
  <c r="F93" i="1"/>
  <c r="AG89" i="1"/>
  <c r="Z89" i="1"/>
  <c r="X89" i="1"/>
  <c r="T89" i="1"/>
  <c r="Y89" i="1"/>
  <c r="M89" i="1"/>
  <c r="I89" i="1"/>
  <c r="F89" i="1"/>
  <c r="Z88" i="1"/>
  <c r="X88" i="1"/>
  <c r="T88" i="1"/>
  <c r="Y88" i="1"/>
  <c r="M88" i="1"/>
  <c r="I88" i="1"/>
  <c r="F88" i="1"/>
  <c r="X86" i="1"/>
  <c r="T86" i="1"/>
  <c r="Y86" i="1"/>
  <c r="F86" i="1"/>
  <c r="X85" i="1"/>
  <c r="F85" i="1"/>
  <c r="X84" i="1"/>
  <c r="F84" i="1"/>
  <c r="AG83" i="1"/>
  <c r="X83" i="1"/>
  <c r="T83" i="1"/>
  <c r="Y83" i="1"/>
  <c r="F83" i="1"/>
  <c r="X82" i="1"/>
  <c r="T82" i="1"/>
  <c r="Y82" i="1"/>
  <c r="F82" i="1"/>
  <c r="X81" i="1"/>
  <c r="T81" i="1"/>
  <c r="Y81" i="1"/>
  <c r="F81" i="1"/>
  <c r="X80" i="1"/>
  <c r="T80" i="1"/>
  <c r="Y80" i="1"/>
  <c r="F80" i="1"/>
  <c r="X79" i="1"/>
  <c r="T79" i="1"/>
  <c r="Y79" i="1"/>
  <c r="F79" i="1"/>
  <c r="X78" i="1"/>
  <c r="T78" i="1"/>
  <c r="Y78" i="1"/>
  <c r="F78" i="1"/>
  <c r="X77" i="1"/>
  <c r="T77" i="1"/>
  <c r="Y77" i="1"/>
  <c r="F77" i="1"/>
  <c r="X75" i="1"/>
  <c r="S75" i="1"/>
  <c r="Q75" i="1"/>
  <c r="F75" i="1"/>
  <c r="X74" i="1"/>
  <c r="T74" i="1"/>
  <c r="Y74" i="1"/>
  <c r="F74" i="1"/>
  <c r="X73" i="1"/>
  <c r="T73" i="1"/>
  <c r="Y73" i="1"/>
  <c r="M73" i="1"/>
  <c r="F73" i="1"/>
  <c r="X72" i="1"/>
  <c r="T72" i="1"/>
  <c r="Y72" i="1"/>
  <c r="M72" i="1"/>
  <c r="F72" i="1"/>
  <c r="X71" i="1"/>
  <c r="T71" i="1"/>
  <c r="Y71" i="1"/>
  <c r="F71" i="1"/>
  <c r="X70" i="1"/>
  <c r="T70" i="1"/>
  <c r="Y70" i="1"/>
  <c r="F70" i="1"/>
  <c r="Z69" i="1"/>
  <c r="X69" i="1"/>
  <c r="T69" i="1"/>
  <c r="Y69" i="1"/>
  <c r="M69" i="1"/>
  <c r="F69" i="1"/>
  <c r="X68" i="1"/>
  <c r="T68" i="1"/>
  <c r="Y68" i="1"/>
  <c r="F68" i="1"/>
  <c r="X67" i="1"/>
  <c r="T67" i="1"/>
  <c r="Y67" i="1"/>
  <c r="M67" i="1"/>
  <c r="F67" i="1"/>
  <c r="X66" i="1"/>
  <c r="T66" i="1"/>
  <c r="Y66" i="1"/>
  <c r="F66" i="1"/>
  <c r="X65" i="1"/>
  <c r="T65" i="1"/>
  <c r="Y65" i="1"/>
  <c r="F65" i="1"/>
  <c r="F64" i="1"/>
  <c r="X63" i="1"/>
  <c r="T63" i="1"/>
  <c r="Y63" i="1"/>
  <c r="F63" i="1"/>
  <c r="Z62" i="1"/>
  <c r="S62" i="1"/>
  <c r="R62" i="1"/>
  <c r="X62" i="1"/>
  <c r="Q62" i="1"/>
  <c r="T62" i="1"/>
  <c r="Y62" i="1"/>
  <c r="M62" i="1"/>
  <c r="F62" i="1"/>
  <c r="X61" i="1"/>
  <c r="T61" i="1"/>
  <c r="Y61" i="1"/>
  <c r="M61" i="1"/>
  <c r="I61" i="1"/>
  <c r="F61" i="1"/>
  <c r="X60" i="1"/>
  <c r="T60" i="1"/>
  <c r="Y60" i="1"/>
  <c r="M60" i="1"/>
  <c r="I60" i="1"/>
  <c r="F60" i="1"/>
  <c r="X59" i="1"/>
  <c r="T59" i="1"/>
  <c r="Y59" i="1"/>
  <c r="M59" i="1"/>
  <c r="I59" i="1"/>
  <c r="F59" i="1"/>
  <c r="X58" i="1"/>
  <c r="T58" i="1"/>
  <c r="Y58" i="1"/>
  <c r="M58" i="1"/>
  <c r="I58" i="1"/>
  <c r="F58" i="1"/>
  <c r="M57" i="1"/>
  <c r="I57" i="1"/>
  <c r="F57" i="1"/>
  <c r="X56" i="1"/>
  <c r="T56" i="1"/>
  <c r="Y56" i="1"/>
  <c r="F56" i="1"/>
  <c r="X55" i="1"/>
  <c r="T55" i="1"/>
  <c r="Y55" i="1"/>
  <c r="F55" i="1"/>
  <c r="X54" i="1"/>
  <c r="Q54" i="1"/>
  <c r="T54" i="1"/>
  <c r="Y54" i="1"/>
  <c r="M54" i="1"/>
  <c r="I54" i="1"/>
  <c r="F54" i="1"/>
  <c r="X53" i="1"/>
  <c r="T53" i="1"/>
  <c r="Y53" i="1"/>
  <c r="M53" i="1"/>
  <c r="I53" i="1"/>
  <c r="F53" i="1"/>
  <c r="X52" i="1"/>
  <c r="T52" i="1"/>
  <c r="Y52" i="1"/>
  <c r="M52" i="1"/>
  <c r="I52" i="1"/>
  <c r="F52" i="1"/>
  <c r="X51" i="1"/>
  <c r="T51" i="1"/>
  <c r="Y51" i="1"/>
  <c r="M51" i="1"/>
  <c r="I51" i="1"/>
  <c r="F51" i="1"/>
  <c r="X50" i="1"/>
  <c r="T50" i="1"/>
  <c r="Y50" i="1"/>
  <c r="I50" i="1"/>
  <c r="F50" i="1"/>
  <c r="X49" i="1"/>
  <c r="M49" i="1"/>
  <c r="I49" i="1"/>
  <c r="F49" i="1"/>
  <c r="X48" i="1"/>
  <c r="T48" i="1"/>
  <c r="Y48" i="1"/>
  <c r="M48" i="1"/>
  <c r="F48" i="1"/>
  <c r="X47" i="1"/>
  <c r="M47" i="1"/>
  <c r="F47" i="1"/>
  <c r="Z46" i="1"/>
  <c r="X46" i="1"/>
  <c r="T46" i="1"/>
  <c r="Y46" i="1"/>
  <c r="F46" i="1"/>
  <c r="X45" i="1"/>
  <c r="T45" i="1"/>
  <c r="Y45" i="1"/>
  <c r="I45" i="1"/>
  <c r="F45" i="1"/>
  <c r="T44" i="1"/>
  <c r="Y44" i="1"/>
  <c r="F44" i="1"/>
  <c r="X43" i="1"/>
  <c r="T43" i="1"/>
  <c r="Y43" i="1"/>
  <c r="F43" i="1"/>
  <c r="X42" i="1"/>
  <c r="T42" i="1"/>
  <c r="Y42" i="1"/>
  <c r="F42" i="1"/>
  <c r="T41" i="1"/>
  <c r="Y41" i="1"/>
  <c r="F41" i="1"/>
  <c r="Z40" i="1"/>
  <c r="X40" i="1"/>
  <c r="T40" i="1"/>
  <c r="Y40" i="1"/>
  <c r="F40" i="1"/>
  <c r="Z38" i="1"/>
  <c r="R38" i="1"/>
  <c r="X38" i="1"/>
  <c r="M38" i="1"/>
  <c r="I38" i="1"/>
  <c r="F38" i="1"/>
  <c r="I37" i="1"/>
  <c r="F37" i="1"/>
  <c r="I36" i="1"/>
  <c r="F36" i="1"/>
  <c r="I35" i="1"/>
  <c r="F35" i="1"/>
  <c r="I34" i="1"/>
  <c r="F34" i="1"/>
  <c r="I33" i="1"/>
  <c r="F33" i="1"/>
  <c r="I32" i="1"/>
  <c r="F32" i="1"/>
  <c r="I31" i="1"/>
  <c r="F31" i="1"/>
  <c r="T30" i="1"/>
  <c r="Y30" i="1"/>
  <c r="F30" i="1"/>
  <c r="F29" i="1"/>
  <c r="Z28" i="1"/>
  <c r="X28" i="1"/>
  <c r="T28" i="1"/>
  <c r="Y28" i="1"/>
  <c r="F28" i="1"/>
  <c r="X27" i="1"/>
  <c r="T27" i="1"/>
  <c r="Y27" i="1"/>
  <c r="F27" i="1"/>
  <c r="X26" i="1"/>
  <c r="F26" i="1"/>
  <c r="X25" i="1"/>
  <c r="T25" i="1"/>
  <c r="Y25" i="1"/>
  <c r="F25" i="1"/>
  <c r="X24" i="1"/>
  <c r="T24" i="1"/>
  <c r="Y24" i="1"/>
  <c r="F24" i="1"/>
  <c r="Q23" i="1"/>
  <c r="F23" i="1"/>
  <c r="X22" i="1"/>
  <c r="S22" i="1"/>
  <c r="T22" i="1"/>
  <c r="Y22" i="1"/>
  <c r="F22" i="1"/>
  <c r="F21" i="1"/>
  <c r="I20" i="1"/>
  <c r="F20" i="1"/>
  <c r="Z19" i="1"/>
  <c r="X19" i="1"/>
  <c r="T19" i="1"/>
  <c r="Y19" i="1"/>
  <c r="F19" i="1"/>
  <c r="Z18" i="1"/>
  <c r="F18" i="1"/>
  <c r="X17" i="1"/>
  <c r="T17" i="1"/>
  <c r="Y17" i="1"/>
  <c r="F17" i="1"/>
  <c r="S16" i="1"/>
  <c r="R16" i="1"/>
  <c r="Q16" i="1"/>
  <c r="M16" i="1"/>
  <c r="F16" i="1"/>
  <c r="Z15" i="1"/>
  <c r="X15" i="1"/>
  <c r="T15" i="1"/>
  <c r="Y15" i="1"/>
  <c r="F15" i="1"/>
  <c r="Z14" i="1"/>
  <c r="S14" i="1"/>
  <c r="R14" i="1"/>
  <c r="X14" i="1"/>
  <c r="Q14" i="1"/>
  <c r="T14" i="1"/>
  <c r="Y14" i="1"/>
  <c r="M14" i="1"/>
  <c r="I14" i="1"/>
  <c r="F14" i="1"/>
  <c r="Z13" i="1"/>
  <c r="Y13" i="1"/>
  <c r="X13" i="1"/>
  <c r="S13" i="1"/>
  <c r="F13" i="1"/>
  <c r="Z12" i="1"/>
  <c r="Q12" i="1"/>
  <c r="R12" i="1"/>
  <c r="X12" i="1"/>
  <c r="S12" i="1"/>
  <c r="T12" i="1"/>
  <c r="Y12" i="1"/>
  <c r="M12" i="1"/>
  <c r="F12" i="1"/>
  <c r="Z11" i="1"/>
  <c r="S11" i="1"/>
  <c r="R11" i="1"/>
  <c r="X11" i="1"/>
  <c r="Q11" i="1"/>
  <c r="M11" i="1"/>
  <c r="F11" i="1"/>
  <c r="Z10" i="1"/>
  <c r="S10" i="1"/>
  <c r="R10" i="1"/>
  <c r="X10" i="1"/>
  <c r="Q10" i="1"/>
  <c r="M10" i="1"/>
  <c r="F10" i="1"/>
  <c r="F9" i="1"/>
  <c r="F8" i="1"/>
  <c r="X7" i="1"/>
  <c r="T7" i="1"/>
  <c r="Y7" i="1"/>
  <c r="F7" i="1"/>
  <c r="X6" i="1"/>
  <c r="T6" i="1"/>
  <c r="Y6" i="1"/>
  <c r="F6" i="1"/>
  <c r="Y5" i="1"/>
  <c r="F5" i="1"/>
  <c r="X4" i="1"/>
  <c r="T4" i="1"/>
  <c r="Y4" i="1"/>
  <c r="I4" i="1"/>
  <c r="F4" i="1"/>
  <c r="X3" i="1"/>
  <c r="T3" i="1"/>
  <c r="Y3" i="1"/>
  <c r="F3" i="1"/>
  <c r="T96" i="1"/>
  <c r="Y96" i="1"/>
  <c r="T113" i="1"/>
  <c r="Y113" i="1"/>
  <c r="T100" i="1"/>
  <c r="Y100" i="1"/>
  <c r="T104" i="1"/>
  <c r="Y104" i="1"/>
  <c r="X104" i="1"/>
  <c r="T10" i="1"/>
  <c r="Y10" i="1"/>
  <c r="T75" i="1"/>
  <c r="Y75" i="1"/>
  <c r="T122" i="1"/>
  <c r="Y122" i="1"/>
  <c r="T47" i="1"/>
  <c r="Y47" i="1"/>
  <c r="T11" i="1"/>
  <c r="Y11" i="1"/>
  <c r="X96" i="1"/>
  <c r="X16" i="1"/>
  <c r="T16" i="1"/>
  <c r="Y16" i="1"/>
  <c r="T26" i="1"/>
  <c r="Y26" i="1"/>
  <c r="T101" i="1"/>
  <c r="Y101" i="1"/>
  <c r="X21" i="1"/>
</calcChain>
</file>

<file path=xl/sharedStrings.xml><?xml version="1.0" encoding="utf-8"?>
<sst xmlns="http://schemas.openxmlformats.org/spreadsheetml/2006/main" count="3736" uniqueCount="1135">
  <si>
    <t>Species</t>
  </si>
  <si>
    <t>Natural Mortality</t>
  </si>
  <si>
    <t>Observed Maximum Age</t>
  </si>
  <si>
    <t>von Bertalanffy Growth</t>
  </si>
  <si>
    <t>Length-Length relationship</t>
  </si>
  <si>
    <t>Comments</t>
  </si>
  <si>
    <t>Taxa</t>
  </si>
  <si>
    <t>Order</t>
  </si>
  <si>
    <t>Family</t>
  </si>
  <si>
    <t>Genus</t>
  </si>
  <si>
    <t>Scientific Name</t>
  </si>
  <si>
    <t>Common Name</t>
  </si>
  <si>
    <t>M Location</t>
  </si>
  <si>
    <t>M</t>
  </si>
  <si>
    <t>Sex</t>
  </si>
  <si>
    <t>M Ref</t>
  </si>
  <si>
    <t>tmax</t>
  </si>
  <si>
    <t>tmax Ref</t>
  </si>
  <si>
    <t>tm Ref</t>
  </si>
  <si>
    <t>K</t>
  </si>
  <si>
    <t>Linf</t>
  </si>
  <si>
    <t>t0</t>
  </si>
  <si>
    <t>L0</t>
  </si>
  <si>
    <t>Length unit</t>
  </si>
  <si>
    <t>Length type</t>
  </si>
  <si>
    <t>GrowthRef</t>
  </si>
  <si>
    <t>Lm</t>
  </si>
  <si>
    <t>LmRef</t>
  </si>
  <si>
    <t>Formula</t>
  </si>
  <si>
    <t>Length to Total Length TL Ref</t>
  </si>
  <si>
    <t>Temp</t>
  </si>
  <si>
    <t>TempRef</t>
  </si>
  <si>
    <t>c</t>
  </si>
  <si>
    <t>catch curve</t>
  </si>
  <si>
    <t>NA</t>
  </si>
  <si>
    <t>cm</t>
  </si>
  <si>
    <t>TL</t>
  </si>
  <si>
    <t>m</t>
  </si>
  <si>
    <t>f</t>
  </si>
  <si>
    <t>From independent Z-F</t>
  </si>
  <si>
    <t>mm</t>
  </si>
  <si>
    <t>Elasmobranch</t>
  </si>
  <si>
    <t>Carcharhiniformes</t>
  </si>
  <si>
    <t>Carcharhinidae</t>
  </si>
  <si>
    <t>Carcharhinus</t>
  </si>
  <si>
    <t>limbatus</t>
  </si>
  <si>
    <t>Tagging and from independent Z-F</t>
  </si>
  <si>
    <t>Swinsburg, 2013</t>
  </si>
  <si>
    <t>Passerotti &amp; Baremore, 2012a</t>
  </si>
  <si>
    <t>Passerotti &amp; Baremore, 2012b</t>
  </si>
  <si>
    <t>FL</t>
  </si>
  <si>
    <t>TL=1.12 x FL+1.12</t>
  </si>
  <si>
    <t>Carlson et al., 2006</t>
  </si>
  <si>
    <t>FishBase</t>
  </si>
  <si>
    <t>plumbeus</t>
  </si>
  <si>
    <t>Sandbar shark</t>
  </si>
  <si>
    <t>Western Australia</t>
  </si>
  <si>
    <t>Tagging</t>
  </si>
  <si>
    <t>this study</t>
  </si>
  <si>
    <t>McAuley et al., 2007a</t>
  </si>
  <si>
    <t>McAuley et al., 2006</t>
  </si>
  <si>
    <t>McAuley et al., 2007b</t>
  </si>
  <si>
    <t>TL = 1.122 x FL + 6.004</t>
  </si>
  <si>
    <t>Cleveland Bay, Australia</t>
  </si>
  <si>
    <t>tagging</t>
  </si>
  <si>
    <t>Rhizoprionodon</t>
  </si>
  <si>
    <t>taylori</t>
  </si>
  <si>
    <t>Australian sharpnose shark</t>
  </si>
  <si>
    <t>Simpfendorfer, 1999</t>
  </si>
  <si>
    <t>Simpfendorfer, 1993a</t>
  </si>
  <si>
    <t>Simpfendorfer, 1993b</t>
  </si>
  <si>
    <t>Sphyrnidae</t>
  </si>
  <si>
    <t>Sphyrna</t>
  </si>
  <si>
    <t>tiburo</t>
  </si>
  <si>
    <t>Bonnethead</t>
  </si>
  <si>
    <t>Lombardi-Carlson, 2007</t>
  </si>
  <si>
    <t>Triakidae</t>
  </si>
  <si>
    <t>Galeorhinus</t>
  </si>
  <si>
    <t>galeus</t>
  </si>
  <si>
    <t>School Shark</t>
  </si>
  <si>
    <t>Western and south Australia, Bass Strait and Tasmania</t>
  </si>
  <si>
    <t>Walker et al., 2000</t>
  </si>
  <si>
    <t>Moulton et al., 1992</t>
  </si>
  <si>
    <t>Olsen, 1984</t>
  </si>
  <si>
    <t>Mustelus</t>
  </si>
  <si>
    <t>antarcticus</t>
  </si>
  <si>
    <t>Gummy shark</t>
  </si>
  <si>
    <t>Walker et al., 2002</t>
  </si>
  <si>
    <t>Walker, 2007</t>
  </si>
  <si>
    <t>Heterodontiformes</t>
  </si>
  <si>
    <t>Heterodontidae</t>
  </si>
  <si>
    <t>Heterodontus</t>
  </si>
  <si>
    <t>portusjacksoni</t>
  </si>
  <si>
    <t>Port Jackson Shark</t>
  </si>
  <si>
    <t>Powter &amp; Gladstone, 2008a</t>
  </si>
  <si>
    <t>Ramos, 2007; Tovar-Ávila et al., 2009</t>
  </si>
  <si>
    <t>Tovar-Ávila et al., 2009</t>
  </si>
  <si>
    <t>Powter &amp; Gladstone, 2008b</t>
  </si>
  <si>
    <t>Lamniformes</t>
  </si>
  <si>
    <t>Lamnidae</t>
  </si>
  <si>
    <t>Lamna</t>
  </si>
  <si>
    <t>nasus</t>
  </si>
  <si>
    <t>Porbeagle</t>
  </si>
  <si>
    <t>Northwest Atlantic, Canada</t>
  </si>
  <si>
    <t>Aasen, 1963</t>
  </si>
  <si>
    <t>Aasen, 1961</t>
  </si>
  <si>
    <t>TL=1.12xFL; FL = 0.99+0.885 x TL</t>
  </si>
  <si>
    <t>Campana et al., 1999</t>
  </si>
  <si>
    <t>M estimated for recruited individuals, mostly adults</t>
  </si>
  <si>
    <t>Myliobatiformes</t>
  </si>
  <si>
    <t>Urolophidae</t>
  </si>
  <si>
    <t>Urolophus</t>
  </si>
  <si>
    <t>paucimaculatus</t>
  </si>
  <si>
    <t>Port Phillip Bay, Australia</t>
  </si>
  <si>
    <t>Edwards, 1980</t>
  </si>
  <si>
    <t>Edwards, 1980; Last et al., 2016</t>
  </si>
  <si>
    <t>Male length at maturity taken from Last et al., 2016 Rays of the world</t>
  </si>
  <si>
    <t>Rajiformes</t>
  </si>
  <si>
    <t>Rajidae</t>
  </si>
  <si>
    <t>Leucoraja</t>
  </si>
  <si>
    <t>ocellata</t>
  </si>
  <si>
    <t>Winter skate</t>
  </si>
  <si>
    <t>Canada, Eastern Scotian Shelf (4VW)</t>
  </si>
  <si>
    <t>M model</t>
  </si>
  <si>
    <t>Swain et al., 2006</t>
  </si>
  <si>
    <t>McPhie &amp; Campana, 2009a</t>
  </si>
  <si>
    <t>McPhie &amp; Campana, 2009b</t>
  </si>
  <si>
    <t>Squaliformes</t>
  </si>
  <si>
    <t>Squalidae</t>
  </si>
  <si>
    <t>Squalus</t>
  </si>
  <si>
    <t>acanthias</t>
  </si>
  <si>
    <t>Spiny dogfish</t>
  </si>
  <si>
    <t>Northeast Atlantic, Scotland and Norway</t>
  </si>
  <si>
    <t>Holden, 1968</t>
  </si>
  <si>
    <t>Fahy, 1989</t>
  </si>
  <si>
    <t>Holden &amp; Meadows, 1962, 1964</t>
  </si>
  <si>
    <t>M estimate largely based on individuals of 80 cm and larger. Fahy (1989) recalculated growth from Holden and Meadows (1962) data.</t>
  </si>
  <si>
    <t>suckleyi</t>
  </si>
  <si>
    <t>Pacific Spiny Dogfish</t>
  </si>
  <si>
    <t>Washington state, NE Pacific</t>
  </si>
  <si>
    <t>Vega et al., 2009</t>
  </si>
  <si>
    <t>Taylor, 2008</t>
  </si>
  <si>
    <t>Bonham et al., 1949</t>
  </si>
  <si>
    <t>Teleost</t>
  </si>
  <si>
    <t>Beloniformes</t>
  </si>
  <si>
    <t>Hemiramphidae</t>
  </si>
  <si>
    <t>Hyporhamphus</t>
  </si>
  <si>
    <t>melanochir</t>
  </si>
  <si>
    <t>Baird Bay, Australia</t>
  </si>
  <si>
    <t>Jones, 1990</t>
  </si>
  <si>
    <t>SL</t>
  </si>
  <si>
    <t>TL = 1.1423 SL + 0.7732</t>
  </si>
  <si>
    <t>Jones et al., 2002</t>
  </si>
  <si>
    <t>Lm 50 as mean between first and 100% maturity</t>
  </si>
  <si>
    <t>Clupeiformes</t>
  </si>
  <si>
    <t>Clupeidae</t>
  </si>
  <si>
    <t>Brevoortia</t>
  </si>
  <si>
    <t>patronus</t>
  </si>
  <si>
    <t>Gulf menhaden</t>
  </si>
  <si>
    <t>Gulf of Mexico</t>
  </si>
  <si>
    <t>Ahrenholz, 1981</t>
  </si>
  <si>
    <t>Nelson &amp; Ahrenholz, 1986</t>
  </si>
  <si>
    <t>Lewis et al., 1981</t>
  </si>
  <si>
    <t>TL=(FL-1.191)/0.850</t>
  </si>
  <si>
    <t>Schueller et al., 2012</t>
  </si>
  <si>
    <t>tyrannus</t>
  </si>
  <si>
    <t>Atlantic menhaden</t>
  </si>
  <si>
    <t>Chesapeake Bay</t>
  </si>
  <si>
    <t>Z vs effort</t>
  </si>
  <si>
    <t>Schaaf &amp; Huntsman, 1972</t>
  </si>
  <si>
    <t>Higham &amp; Nicholson, 1964</t>
  </si>
  <si>
    <t>TL = 0 + 1.146 x FL</t>
  </si>
  <si>
    <t>Sardinella</t>
  </si>
  <si>
    <t>longiceps</t>
  </si>
  <si>
    <t>Indian oil sardine</t>
  </si>
  <si>
    <t>Banerji, 1973</t>
  </si>
  <si>
    <t>Length assumed to be total length</t>
  </si>
  <si>
    <t>Sardinops</t>
  </si>
  <si>
    <t>sagax</t>
  </si>
  <si>
    <t>Albany region, Australia</t>
  </si>
  <si>
    <t>Fletcher, 1995</t>
  </si>
  <si>
    <t xml:space="preserve"> TL = 0 + 1.091 x FL</t>
  </si>
  <si>
    <t>Engraulidae</t>
  </si>
  <si>
    <t>Engraulis</t>
  </si>
  <si>
    <t>japonicus</t>
  </si>
  <si>
    <t>Japanese anchovy</t>
  </si>
  <si>
    <t>Yellow Sea and East China Sea</t>
  </si>
  <si>
    <t>Z from absolute numbers</t>
  </si>
  <si>
    <t>Iversen et al., 1993</t>
  </si>
  <si>
    <t>Xu et al., 1994 as cited in FishBase</t>
  </si>
  <si>
    <t>Gadiformes</t>
  </si>
  <si>
    <t>Gadidae</t>
  </si>
  <si>
    <t>Trisopterus</t>
  </si>
  <si>
    <t>esmarkii</t>
  </si>
  <si>
    <t>Norway pout</t>
  </si>
  <si>
    <t>Faroe Islands</t>
  </si>
  <si>
    <t>Bailey &amp; Kunzlik, 1984</t>
  </si>
  <si>
    <t>Raitt, 1968</t>
  </si>
  <si>
    <t>Length from Bailey &amp; Kunzlik, 1984 assumed to be total length</t>
  </si>
  <si>
    <t>Macrouridae</t>
  </si>
  <si>
    <t>Coryphaenoides</t>
  </si>
  <si>
    <t>rupestris</t>
  </si>
  <si>
    <t>Rockall Trough and neighbouring areas</t>
  </si>
  <si>
    <t>Lorance et al., 2001</t>
  </si>
  <si>
    <t>PL</t>
  </si>
  <si>
    <t>Lorance et al., 2003</t>
  </si>
  <si>
    <t>TL=4.48 x PL+0.76</t>
  </si>
  <si>
    <t>Merlucciidae</t>
  </si>
  <si>
    <t>Merluccius</t>
  </si>
  <si>
    <t>australis</t>
  </si>
  <si>
    <t>Chapman Robson</t>
  </si>
  <si>
    <t>Dunn et al., 2000</t>
  </si>
  <si>
    <t>Colman &amp; Vignaux, 1992</t>
  </si>
  <si>
    <t>Colman, 1998</t>
  </si>
  <si>
    <t>If not stated length was assumed to be TL</t>
  </si>
  <si>
    <t>Gasterosteiformes</t>
  </si>
  <si>
    <t>Syngnathidae</t>
  </si>
  <si>
    <t>Hippocampus</t>
  </si>
  <si>
    <t>guttulatus</t>
  </si>
  <si>
    <t>Ria Formosa coastal lagoon, Portugal</t>
  </si>
  <si>
    <t>mark-recapture</t>
  </si>
  <si>
    <t>Curtis &amp; Vincent, 2006</t>
  </si>
  <si>
    <t>Myctophiformes</t>
  </si>
  <si>
    <t>Myctophidae</t>
  </si>
  <si>
    <t>Benthosema</t>
  </si>
  <si>
    <t>glaciale</t>
  </si>
  <si>
    <t>Western Norway</t>
  </si>
  <si>
    <t>TL=SL/0.81</t>
  </si>
  <si>
    <t>Perciformes</t>
  </si>
  <si>
    <t>Acanthuridae</t>
  </si>
  <si>
    <t>Acanthurus</t>
  </si>
  <si>
    <t>bahianus</t>
  </si>
  <si>
    <t>Ascension</t>
  </si>
  <si>
    <t>Robertson et al., 2005</t>
  </si>
  <si>
    <t>TL = 0 + 1.367 x SL</t>
  </si>
  <si>
    <t>Authors state that sample was representative of an adult age structure</t>
  </si>
  <si>
    <t>Bahamas</t>
  </si>
  <si>
    <t>Bermuda</t>
  </si>
  <si>
    <t>Cabo Frio</t>
  </si>
  <si>
    <t>Las Aves</t>
  </si>
  <si>
    <t>Los Roques, Venezuela</t>
  </si>
  <si>
    <t>St. Helena</t>
  </si>
  <si>
    <t>nigrofuscus</t>
  </si>
  <si>
    <t>Central Great Barrier Reef</t>
  </si>
  <si>
    <t>Hart &amp; Russ, 1996</t>
  </si>
  <si>
    <t>TL = 0 + 1.2820625 x FL</t>
  </si>
  <si>
    <t>Apogonidae</t>
  </si>
  <si>
    <t>Epigonus</t>
  </si>
  <si>
    <t>telescopus</t>
  </si>
  <si>
    <t>Tracey et al., 2000</t>
  </si>
  <si>
    <t>Dunn, 2009</t>
  </si>
  <si>
    <t>TL = 0 + 1.096 x FL</t>
  </si>
  <si>
    <t>Carangidae</t>
  </si>
  <si>
    <t>Lichia</t>
  </si>
  <si>
    <t>amia</t>
  </si>
  <si>
    <t>Potts et al., 2008</t>
  </si>
  <si>
    <t>TL= 1.18 x FL – 1.28</t>
  </si>
  <si>
    <t>Trachurus</t>
  </si>
  <si>
    <t>declivis</t>
  </si>
  <si>
    <t>Bay of Plenty, New Zealand</t>
  </si>
  <si>
    <t>Horn, 1991</t>
  </si>
  <si>
    <t>TL = 0 + 1.087 x FL</t>
  </si>
  <si>
    <t>New South Wales to Tasmania, Australia</t>
  </si>
  <si>
    <t>Stevens &amp; Hausfeld, 1982</t>
  </si>
  <si>
    <t>Webb, 1976</t>
  </si>
  <si>
    <t>Japanese jack mackerel</t>
  </si>
  <si>
    <t>East China Sea</t>
  </si>
  <si>
    <t>Mitani &amp; Shojima, 1966</t>
  </si>
  <si>
    <t>Hotta &amp; Nakashima, 1971</t>
  </si>
  <si>
    <t>Mitani &amp; Ida, 1964</t>
  </si>
  <si>
    <t>TL = 0 + 1.133 x FL</t>
  </si>
  <si>
    <t>novaezelandiae</t>
  </si>
  <si>
    <t>TL = 0 + 1.121 x FL</t>
  </si>
  <si>
    <t>Channichthyidae</t>
  </si>
  <si>
    <t>Champsocephalus</t>
  </si>
  <si>
    <t>gunnari</t>
  </si>
  <si>
    <t>South Georgia</t>
  </si>
  <si>
    <t>Frolkina &amp; Dorovskikh, 1989</t>
  </si>
  <si>
    <t>Cheilodactylidae</t>
  </si>
  <si>
    <t>Nemadactylus</t>
  </si>
  <si>
    <t>macropterus</t>
  </si>
  <si>
    <t>Chatham Islands</t>
  </si>
  <si>
    <t>Vooren, 1977</t>
  </si>
  <si>
    <t>Annala, 1987</t>
  </si>
  <si>
    <t>Annala et al., 1989</t>
  </si>
  <si>
    <t>TL = 0 + 1.122 x FL</t>
  </si>
  <si>
    <t>Glaucosomatidae</t>
  </si>
  <si>
    <t>Glaucosoma</t>
  </si>
  <si>
    <t>buergeri</t>
  </si>
  <si>
    <t>Pilbara coast, Australia</t>
  </si>
  <si>
    <t>Newman, 2002a</t>
  </si>
  <si>
    <t>TL=-2.711+(1.0575 x FL)</t>
  </si>
  <si>
    <t>Maturity information absent but assumed to represent adult M due to good representation of fish &gt; age 10</t>
  </si>
  <si>
    <t>Gobiidae</t>
  </si>
  <si>
    <t>Amblygobius</t>
  </si>
  <si>
    <t>bynoensis</t>
  </si>
  <si>
    <t>Bynoe goby</t>
  </si>
  <si>
    <t>Pioneer Bay, Orpheus Island</t>
  </si>
  <si>
    <t>Hernaman &amp; Munday, 2005b</t>
  </si>
  <si>
    <t>Hernaman &amp; Munday, 2005a</t>
  </si>
  <si>
    <t>M was estimated for adults</t>
  </si>
  <si>
    <t>phalaena</t>
  </si>
  <si>
    <t>Asterropteryx</t>
  </si>
  <si>
    <t>semipunctatus</t>
  </si>
  <si>
    <t>Great Barrier Reef</t>
  </si>
  <si>
    <t>Gobius</t>
  </si>
  <si>
    <t>vittatus</t>
  </si>
  <si>
    <t>Kvarner area, north Adriatic Sea</t>
  </si>
  <si>
    <t>Kovacic, 2006</t>
  </si>
  <si>
    <t>Kovacic, 2007</t>
  </si>
  <si>
    <t>tm as average between first and 100% maturity</t>
  </si>
  <si>
    <t>Istigobius</t>
  </si>
  <si>
    <t>decoratus</t>
  </si>
  <si>
    <t>Lizard Island, Australia</t>
  </si>
  <si>
    <t>exponential model</t>
  </si>
  <si>
    <t>Kritzer, 2002</t>
  </si>
  <si>
    <t>goldmanni</t>
  </si>
  <si>
    <t>Goldman's goby</t>
  </si>
  <si>
    <t>Valenciennea</t>
  </si>
  <si>
    <t>muralis</t>
  </si>
  <si>
    <t>Labridae</t>
  </si>
  <si>
    <t>Cheilinus</t>
  </si>
  <si>
    <t>undulatus</t>
  </si>
  <si>
    <t>northern and central Great Barrier Reef</t>
  </si>
  <si>
    <t>Choat et al., 2006</t>
  </si>
  <si>
    <t>Hood &amp; Pauly, 2017</t>
  </si>
  <si>
    <t>TL = 0 + 1.000 x FL</t>
  </si>
  <si>
    <t>Lethrinidae</t>
  </si>
  <si>
    <t>Lethrinus</t>
  </si>
  <si>
    <t>nebulosus</t>
  </si>
  <si>
    <t>Kimberly, Western Australia</t>
  </si>
  <si>
    <t>Moran et al., 1993</t>
  </si>
  <si>
    <t>TL = 0 + 1.0715 x FL</t>
  </si>
  <si>
    <t>Lutjanidae</t>
  </si>
  <si>
    <t>Lutjanus</t>
  </si>
  <si>
    <t>adetii</t>
  </si>
  <si>
    <t>Newman et al., 1996</t>
  </si>
  <si>
    <t xml:space="preserve"> TL = 0 + 1.081 x FL</t>
  </si>
  <si>
    <t>analis</t>
  </si>
  <si>
    <t>Dry Tortugas</t>
  </si>
  <si>
    <t>Faunce &amp; Muller, 2007</t>
  </si>
  <si>
    <t>Faunce et al., 2007</t>
  </si>
  <si>
    <t>carponotatus</t>
  </si>
  <si>
    <t>Spanish flag snapper</t>
  </si>
  <si>
    <t>Newman et al., 2000b</t>
  </si>
  <si>
    <t>Kritzer, 2004</t>
  </si>
  <si>
    <t>TL = 0 + 1.039 x FL</t>
  </si>
  <si>
    <t>Palm Island samples were used for maturity values as this location is closer to the M location. Only female values were available.</t>
  </si>
  <si>
    <t>erythropterus</t>
  </si>
  <si>
    <t>Newman et al., 2000a</t>
  </si>
  <si>
    <t>McPherson et al., 1992</t>
  </si>
  <si>
    <t>TL = -0.06 + 1.050 x FL</t>
  </si>
  <si>
    <t>Due to the high numbers of older individuals up to an age of 32 the M is considered to be adult M.</t>
  </si>
  <si>
    <t>malabaricus</t>
  </si>
  <si>
    <t>off the Pilbara coast, Western Australia</t>
  </si>
  <si>
    <t>Newman, 2002c</t>
  </si>
  <si>
    <t>TL = -2.5837700 + (1.03988241 x FL)</t>
  </si>
  <si>
    <t>Length at maturity assumed by the authors but similar to that of other regions.</t>
  </si>
  <si>
    <t>quinquelineatus</t>
  </si>
  <si>
    <t>TL = 0 + 1.0695 x FL</t>
  </si>
  <si>
    <t>russelli</t>
  </si>
  <si>
    <t>Moses perch</t>
  </si>
  <si>
    <t>Newman, 2002b</t>
  </si>
  <si>
    <t>TL=3.3597+(1.0675 x FL)</t>
  </si>
  <si>
    <t>Authors suggest that age at maturity could be around 4 years and M was considered post mature M.</t>
  </si>
  <si>
    <t>vitta</t>
  </si>
  <si>
    <t>TL = 0 + 1.034 x FL</t>
  </si>
  <si>
    <t>Authors suggest that age at maturity could be around 3 years based on slowing down in growth and M was therefore considered adult M.</t>
  </si>
  <si>
    <t>Nemipteridae</t>
  </si>
  <si>
    <t>Nemipterus</t>
  </si>
  <si>
    <t>Japanese threadfin bream</t>
  </si>
  <si>
    <t>Visakhapatnam, Bay of Bengal</t>
  </si>
  <si>
    <t>Krishnamoorthi, 1976</t>
  </si>
  <si>
    <t>Krishnamoorthi, 1971</t>
  </si>
  <si>
    <t>M assumed to be largely adult M as mean length of all samples was above Lm. Length assumed to be TL.</t>
  </si>
  <si>
    <t>Nototheniidae</t>
  </si>
  <si>
    <t>Notothenia</t>
  </si>
  <si>
    <t>neglecta</t>
  </si>
  <si>
    <t>Signy Island, South Orkney Islands</t>
  </si>
  <si>
    <t>Everson, 1970</t>
  </si>
  <si>
    <t>Patagonotothen</t>
  </si>
  <si>
    <t>Patagonian rockcod</t>
  </si>
  <si>
    <t>Shag Rocks area</t>
  </si>
  <si>
    <t>Shlibanov, 1989</t>
  </si>
  <si>
    <t>Pomacentridae</t>
  </si>
  <si>
    <t>Stegastes</t>
  </si>
  <si>
    <t>acapulcoensis</t>
  </si>
  <si>
    <t>Galapagos Archipelago</t>
  </si>
  <si>
    <t>Meekan et al., 2001</t>
  </si>
  <si>
    <t>TL = 0 + 1.276 x SL</t>
  </si>
  <si>
    <t>Panama</t>
  </si>
  <si>
    <t>arcifrons</t>
  </si>
  <si>
    <t>TL = 0 + 1.258 x SL</t>
  </si>
  <si>
    <t>beebei</t>
  </si>
  <si>
    <t>TL = 0 + 1.241 x SL</t>
  </si>
  <si>
    <t>flavilatus</t>
  </si>
  <si>
    <t>Baja California</t>
  </si>
  <si>
    <t>TL = 0 + 1.234 x SL</t>
  </si>
  <si>
    <t>rectifraenum</t>
  </si>
  <si>
    <t>Cortez damselfish</t>
  </si>
  <si>
    <t>TL = 0 + 1.275 x SL</t>
  </si>
  <si>
    <t>Scaridae</t>
  </si>
  <si>
    <t>Chlorurus</t>
  </si>
  <si>
    <t>sordidus</t>
  </si>
  <si>
    <t>Gust et al., 2002</t>
  </si>
  <si>
    <t>Gust, 2004</t>
  </si>
  <si>
    <t>TL = 0 + 1.140 x SL; TL = 0 + 1.000 x FL</t>
  </si>
  <si>
    <t>Scarus</t>
  </si>
  <si>
    <t>frenatus</t>
  </si>
  <si>
    <t>TL = 0 + 1.136 x SL</t>
  </si>
  <si>
    <t>Sparisoma</t>
  </si>
  <si>
    <t>viride</t>
  </si>
  <si>
    <t>Choat et al., 2003</t>
  </si>
  <si>
    <t>TL = SL/0.8</t>
  </si>
  <si>
    <t>Assumed to represent adult M given the relatively constant decline from age 1 to 9 in the catch curve.</t>
  </si>
  <si>
    <t>Sciaenidae</t>
  </si>
  <si>
    <t>Umbrina</t>
  </si>
  <si>
    <t>robinsoni</t>
  </si>
  <si>
    <t>Fusca drum</t>
  </si>
  <si>
    <t>De Hoop Marine Protected Area, South Africa</t>
  </si>
  <si>
    <t>Chapman Robson and catch curve</t>
  </si>
  <si>
    <t>Hutchings &amp; Griffiths, 2010</t>
  </si>
  <si>
    <t>M as mean from different methods. Likely adult M due to a larger number of adults in the sample but ages not specifically given for M estimates</t>
  </si>
  <si>
    <t>Kosi Bay region, Maputaland MPA, South Africa</t>
  </si>
  <si>
    <t>Serranidae</t>
  </si>
  <si>
    <t>Cromileptes</t>
  </si>
  <si>
    <t>altivelis</t>
  </si>
  <si>
    <t>Great Barrier Reef and Torres Strait</t>
  </si>
  <si>
    <t>Williams et al., 2009</t>
  </si>
  <si>
    <t xml:space="preserve"> TL = 0 + 1.000 x FL</t>
  </si>
  <si>
    <t>Epinephelus</t>
  </si>
  <si>
    <t>guttatus</t>
  </si>
  <si>
    <t>Luis Pena Channel Marine Fishery Reserve, Puerto Rico</t>
  </si>
  <si>
    <t>Lopez-Rivera &amp; Sabat, 2009</t>
  </si>
  <si>
    <t>Sadovy et al.,1992</t>
  </si>
  <si>
    <t>TL = 1.003 x FL</t>
  </si>
  <si>
    <t>niveatus</t>
  </si>
  <si>
    <t>lower Florida Keys</t>
  </si>
  <si>
    <t>Moore &amp; Labisky, 1984</t>
  </si>
  <si>
    <t>Plectropomus</t>
  </si>
  <si>
    <t>leopardus</t>
  </si>
  <si>
    <t>Russ et al., 1998</t>
  </si>
  <si>
    <t>Ferreira &amp; Russ, 1995</t>
  </si>
  <si>
    <t>Heemstra et al., 1993</t>
  </si>
  <si>
    <t>TL = 0 + 1.1382 x FL;   TL = 0 + 1.2452 x SL</t>
  </si>
  <si>
    <t>Sparidae</t>
  </si>
  <si>
    <t>Chrysoblephus</t>
  </si>
  <si>
    <t>laticeps</t>
  </si>
  <si>
    <t>Roman seabream</t>
  </si>
  <si>
    <t>Tsitsikamma, South Africa</t>
  </si>
  <si>
    <t>Buxton, 1993</t>
  </si>
  <si>
    <t>TL=1.1144 x FL -2.855</t>
  </si>
  <si>
    <t>Pterogymnus</t>
  </si>
  <si>
    <t>laniarius</t>
  </si>
  <si>
    <t>Panga</t>
  </si>
  <si>
    <t>Agulhas Bank, South Africa</t>
  </si>
  <si>
    <t>Booth &amp; Buxton, 1997</t>
  </si>
  <si>
    <t>TL = 0.6848+FL/0.901</t>
  </si>
  <si>
    <t>Booth &amp; Isted, 1997</t>
  </si>
  <si>
    <t>Pleuronectiformes</t>
  </si>
  <si>
    <t>Pleuronectidae</t>
  </si>
  <si>
    <t>Atheresthes</t>
  </si>
  <si>
    <t>stomias</t>
  </si>
  <si>
    <t>Gulf of Alaska</t>
  </si>
  <si>
    <t>Wilderbuer &amp; Turnock, 2009</t>
  </si>
  <si>
    <t>Wilderbuer et al., 2008</t>
  </si>
  <si>
    <t>Zimmermann, 1997</t>
  </si>
  <si>
    <t>M is considered to be adult M as sample had ages up to maximum age. No FL to TL available but FL assumed to be similar to TL because of the shape of the tail</t>
  </si>
  <si>
    <t>Hippoglossoides</t>
  </si>
  <si>
    <t>platessoides</t>
  </si>
  <si>
    <t>American plaice</t>
  </si>
  <si>
    <t>Pitt, 1973</t>
  </si>
  <si>
    <t>Pitt, 1966</t>
  </si>
  <si>
    <t>Pitt, 1967</t>
  </si>
  <si>
    <t>Hippoglossus</t>
  </si>
  <si>
    <t>stenolepis</t>
  </si>
  <si>
    <t>Pacific halibut</t>
  </si>
  <si>
    <t>North Pacific and the Bering Sea</t>
  </si>
  <si>
    <t>Chen &amp; Xiao, 2006</t>
  </si>
  <si>
    <t>Forsberg, 2001</t>
  </si>
  <si>
    <t>Martell et al., 2013</t>
  </si>
  <si>
    <t>Limanda</t>
  </si>
  <si>
    <t>ferruginea</t>
  </si>
  <si>
    <t>Grand Bank, Newfoundland, Canada</t>
  </si>
  <si>
    <t>Cowen et al., 2009</t>
  </si>
  <si>
    <t>Dwyer et al., 2003</t>
  </si>
  <si>
    <t>Walsh &amp; Morgan, 1999</t>
  </si>
  <si>
    <t>tm and Lm as averages of male and female first and 100% maturity.</t>
  </si>
  <si>
    <t>Scorpaeniformes</t>
  </si>
  <si>
    <t>Cottidae</t>
  </si>
  <si>
    <t>Hemilepidotus</t>
  </si>
  <si>
    <t>jordani</t>
  </si>
  <si>
    <t>Aleutian Islands</t>
  </si>
  <si>
    <t>Hutchinson &amp; TenBrink, 2011</t>
  </si>
  <si>
    <t>TenBrink &amp; Buckley 2013</t>
  </si>
  <si>
    <t>Maturity occurs around 6-7 years but sex specific values were not available (see GOA Assessment of the sculpin stock complex in the Gulf of Alaska)</t>
  </si>
  <si>
    <t>eastern Bering Sea</t>
  </si>
  <si>
    <t>Scorpaenidae</t>
  </si>
  <si>
    <t>Sebastes</t>
  </si>
  <si>
    <t>brevispinis</t>
  </si>
  <si>
    <t>British Columbia coastal waters</t>
  </si>
  <si>
    <t>Archibald et al., 1981</t>
  </si>
  <si>
    <t>Stanley and Kronlund, 2005</t>
  </si>
  <si>
    <t>TL = 0 + 1.027 x FL</t>
  </si>
  <si>
    <t>Average M from multiple estimates</t>
  </si>
  <si>
    <t>crameri</t>
  </si>
  <si>
    <t>off the Oregon coast</t>
  </si>
  <si>
    <t>Nichol, 1990</t>
  </si>
  <si>
    <t>TL = -1.700+1.051 x FL</t>
  </si>
  <si>
    <t>Echeverria &amp; Lenarz, 1984</t>
  </si>
  <si>
    <t>emphaeus</t>
  </si>
  <si>
    <t>Puget Sound rockfish</t>
  </si>
  <si>
    <t>San Juan Islands, Washington</t>
  </si>
  <si>
    <t>Beckmann et al., 1998</t>
  </si>
  <si>
    <t>TL = 0 + 1.042 x FL</t>
  </si>
  <si>
    <t xml:space="preserve">Reproductive parameters for females were used </t>
  </si>
  <si>
    <t>flavidus</t>
  </si>
  <si>
    <t>Queen Charlotte Sound, Canada</t>
  </si>
  <si>
    <t>Leaman &amp; Nagtegaal, 1987</t>
  </si>
  <si>
    <t>Tagart et al., 2000</t>
  </si>
  <si>
    <t>TL = 2.358+1.025 x FL</t>
  </si>
  <si>
    <t xml:space="preserve">Average of male and female first and 100% maturity estimates </t>
  </si>
  <si>
    <t>pinniger</t>
  </si>
  <si>
    <t>COSEWIC, 2007</t>
  </si>
  <si>
    <t>DFO, 2009</t>
  </si>
  <si>
    <t>TL = -4.107+1.070 x FL</t>
  </si>
  <si>
    <t>proriger</t>
  </si>
  <si>
    <t>Haldorson &amp; Love, 1991</t>
  </si>
  <si>
    <t>TL = 0 + 1.025 x FL</t>
  </si>
  <si>
    <t>reedi</t>
  </si>
  <si>
    <t>ruberrimus</t>
  </si>
  <si>
    <t xml:space="preserve">Eastern Gulf of Alaska Southern Southeast </t>
  </si>
  <si>
    <t>O'Connell et al., 2002</t>
  </si>
  <si>
    <t>TL = -0.758+1.018 x FL</t>
  </si>
  <si>
    <t>zacentrus</t>
  </si>
  <si>
    <t>TL = 0 + 1.015 x FL</t>
  </si>
  <si>
    <t>Zeiformes</t>
  </si>
  <si>
    <t>Oreosomatidae</t>
  </si>
  <si>
    <t>Allocyttus</t>
  </si>
  <si>
    <t>niger</t>
  </si>
  <si>
    <t>Puysegur Bank, south of New Zealand</t>
  </si>
  <si>
    <t>mean age</t>
  </si>
  <si>
    <t>McMillan et al., 1997</t>
  </si>
  <si>
    <t>Protonibea</t>
  </si>
  <si>
    <t>diacanthus</t>
  </si>
  <si>
    <t>Ghol</t>
  </si>
  <si>
    <t>Bombay and Saurashtra, India</t>
  </si>
  <si>
    <t>Rao, 1968</t>
  </si>
  <si>
    <t>Rao, 1966</t>
  </si>
  <si>
    <t>Rao, 1963</t>
  </si>
  <si>
    <t>Annala, J. H. (1987). The biology and fishery of tarakihi, Nemadactylus macropterus. New Zealand waters. New Zealand Fisheries Research Division Occasional Publication, 51, 1-12.</t>
  </si>
  <si>
    <t>Balart, E. F., González‐Cabello, A., Romero‐Ponce, R. C., Zayas‐Alvarez, A., Calderón‐Parra, M., Campos‐Dávila, L., &amp; Findley, L. T. (2006). Length–weight relationships of cryptic reef fishes from the southwestern Gulf of California, México. Journal of applied Ichthyology, 22(4), 316-318.</t>
  </si>
  <si>
    <t>Booth, A. J., &amp; Isted, E. D. (1997). Comparison of methods used to convert length-frequency data. Fisheries research, 29(3), 271-276.</t>
  </si>
  <si>
    <t>Bruno, I., Costas, G., González, C., &amp; Paz, X. (2000). Feeding chronology of yellowtail flounder (Limanda ferruginea) and American plaice (Hippoglossoides platessoides) on Grand Bank (NAFO Division 3N). NAFO Sci. Coun. Studies, 33, 103-116.</t>
  </si>
  <si>
    <t>Carlson, J. K., Sulikowski, J. R., &amp; Baremore, I. E. (2006). Do differences in life history exist for blacktip sharks, Carcharhinus limbatus, from the United States South Atlantic Bight and Eastern Gulf of Mexico?. In Special Issue: Age and Growth of Chondrichthyan Fishes: New Methods, Techniques and Analysis (pp. 279-292). Springer, Dordrecht.</t>
  </si>
  <si>
    <t>Choat, J. H., Davies, C. R., Ackerman, J. L., &amp; Mapstone, B. D. (2006). Age structure and growth in a large teleost, Cheilinus undulatus, with a review of size distribution in labrid fishes. Marine Ecology Progress Series, 318, 237-246.</t>
  </si>
  <si>
    <t>Colman, J. A. (1998). Spawning areas and size and age at maturity of hake (Merluccius australis) in the New Zealand Exclusive Economic Zone. Ministry of Fisheries.</t>
  </si>
  <si>
    <t>Colman, J. A., &amp; Vignaux, M. (1992). Assessment of hake (Merluccius australis) for the 1992-93 fishing year. MAF Fisheries.</t>
  </si>
  <si>
    <t>Coull, K. A., Jermyn, A. S., Newton, A. W., Henderson, G. I., &amp; Hall, W. B. (1989). Length/weight relationships for 88 species of fish encountered in the North East Atlantic (p. 81). Marine Laboratory Lib..</t>
  </si>
  <si>
    <t>Courcelles, D. (2011). Re-evaluation of the length-weight relationship of Pacific halibut (Hippoglossus stenolepis). Int. Pac. Halibut Comm. Report of Assessment and Research Activities, 459-470.</t>
  </si>
  <si>
    <t>Currey, L. M., Simpfendorfer, C. A., &amp; Williams, A. J. (2010). Resilience of reef fish species on the Great Barrier Reef and in Torres Strait. Project Milestone report to the Marine and Tropical Science Research Facility. Reef and Rainforest Research Centre Limited, Cairns (32 pp.).</t>
  </si>
  <si>
    <t>Dunn, M. R. (2009). Review and stock assessment of black cardinalfish (Epigonus telescopus) on the east coast North Island, New Zealand. New Zealand Fisheries Assessment Report, 39, 55.</t>
  </si>
  <si>
    <t>Echeverria, T., &amp; Lenarz, W. H. (1984). Conversions between total, fork, and standard lengths in 35 species of Sebastes from California. Fishery Bulletin, 82(1), 249-251.</t>
  </si>
  <si>
    <t>Edwards, A. M., Starr, P. J., &amp; Haigh, R. (2012). Stock assessment for Pacific ocean perch (Sebastes alutus) in Queen Charlotte Sound, British Columbia. Fisheries and Oceans Canada, Science.</t>
  </si>
  <si>
    <t>Ferreira, B. P., &amp; Russ, G. R. (1995). Population structure of the leopard coralgrouper, Plectropomus leopardus, on fished and unfished reefs off Townsville, Central Great Barrier Reef, Australia. Fishery Bulletin, 93(4), 629-642.</t>
  </si>
  <si>
    <t>Frolkina, Z. A., and R. S. Dorovskikh. 1989. On assessment of Bertalanffy growth equation parameters and instantaneous natural mortality rate of South Georgia mackerel icefish. In: Selected Scientific Papers (SC-CAMLR-SSP/6), pp. 29–36. Convention on the Conservation of Antarctic Marine Living Resources (CCAMLR), Hobart, Australia.</t>
  </si>
  <si>
    <t>Gallucci, V., Taylor, I., King, J., McFarlane, G., &amp; McPhie, R. (2011). Spiny dogfish (Squalus acanthias) assessment and catch recommendations for 2010. Canadian Science Advisory Secretariat= Secrétariat canadien de consultation scientifique.</t>
  </si>
  <si>
    <t>Gauld, J. A., &amp; Hutcheon, J. R. (1990). Spawning and fecundity in the lesser sandeel, Ammodytes marinus Raitt, in the north‐western North Sea. Journal of Fish Biology, 36(4), 611-613.</t>
  </si>
  <si>
    <t>Gertseva, V., &amp; Taylor, I. G. (2012). Status of the spiny dogfish shark resource off the continental US Pacific Coast in 2011. Pacific Fishery Management Council, Portland, OR. Online at: http://www. pcouncil. org/groundfish/stock-assessments/by-species/spiny-dogfish.</t>
  </si>
  <si>
    <t>Gust, N. (2004). Variation in the population biology of protogynous coral reef fishes over tens of kilometres. Canadian Journal of Fisheries and Aquatic Sciences, 61(2), 205-218.</t>
  </si>
  <si>
    <t>Gust, N., Choat, J., &amp; Ackerman, J. (2002). Demographic plasticity in tropical reef fishes. Marine Biology, 140(5), 1039-1051.</t>
  </si>
  <si>
    <t>Haldorson, L., &amp; Love, M. (1991). Maturity and fecundity in the rockfishes, Sebastes spp., a review. Marine Fisheries Review, 53(2), 25-31.</t>
  </si>
  <si>
    <t>Harry, A. V., Tobin, A. J., &amp; Simpfendorfer, C. A. (2013). Age, growth and reproductive biology of the spot-tail shark, Carcharhinus sorrah, and the Australian blacktip shark, C. tilstoni, from the Great Barrier Reef World Heritage Area, north-eastern Australia. Marine and Freshwater Research, 64(4), 277-293.</t>
  </si>
  <si>
    <t>Higham, J. R., &amp; Nicholson, W. R. (1964). Sexual maturation and spawning of Atlantic menhaden. Fishery Bulletin 63(2), 255–271</t>
  </si>
  <si>
    <t>Hotta, H., &amp; Nakashima J. (1971). Studies on the structure of the population of jack mackerel, Trachurus japonicus, in the western Sea of Japan. V. Analyses based on spawning and maturity. Bull. Seikai Reg. Fish Res. Lab., 39, 33-50.</t>
  </si>
  <si>
    <t>Jensen, C. F., Natanson, L. J., Pratt Jr, H. L., Kohler, N., &amp; Campana, S. E. (2002). The reproductive biology of the porbeage shark (Lamna nasus) in the western North Atlantic Ocean. Fishery Bulletin, 100(4), 727-738.</t>
  </si>
  <si>
    <t>Jones, G. K., Ye, Q., Ayvazian, S., &amp; Coutin, P. (2002). Fisheries biology and habitat ecology of southern sea garfish (Hyporhamphus melanochir) in southern Australian waters. Final Report to FRDC for Project, 97, 133.</t>
  </si>
  <si>
    <t>Kelly, C. J., Connolly, P. L., &amp; Bracken, J. J. (1997). Age estimation, growth, maturity and distribution of the roundnose grenadier from the Rockall Trough. Journal of Fish Biology, 50(1), 1-17.</t>
  </si>
  <si>
    <t>Kohler, N. E., Casey, J. G., &amp; Turner, P. A. (1995). Length-weight relationships for 13 species of sharks from the western North Atlantic. Fishery Bulletin, 93(2), 412-418.</t>
  </si>
  <si>
    <t>Kovacic, M. (2007). Reproductive biology of the striped goby, Gobius vittatus (Gobiidae) in the northern Adriatic Sea. Scientia Marina, 71(1), 145-151.</t>
  </si>
  <si>
    <t>Kritzer, J. P. (2004). Sex-specific growth and mortality, spawning season, and female maturation of the stripey bass (Lutjanus carponotatus) on the Great Barrier Reef. Fishery Bulletin, 102, 94-107.</t>
  </si>
  <si>
    <t>Last, P., Naylor, G., Séret, B., White, W., de Carvalho, M., &amp; Stehmann, M. (Eds.). (2016). Rays of the World. Csiro Publishing.</t>
  </si>
  <si>
    <t>Marriott R.J., Jarvis N.D.C., Adams D.J., Gallash A.E., Norriss J. &amp; Newman S.J. (2010) Maturation and sexual ontogeny in the spangled emperor, Lethrinus nebulosus. Journal of Fish Biology 76, 1396–1414.</t>
  </si>
  <si>
    <t>McAuley, R. B., Simpfendorfer, C. A., &amp; Hall, N. G. (2007a). A method for evaluating the impacts of fishing mortality and stochastic influences on the demography of two long-lived shark stocks. ICES Journal of Marine Science, 64(9), 1710-1722.</t>
  </si>
  <si>
    <t>Mcauley, R. B., Simpfendorfer, C. A., Hyndes, G. A., &amp; Lenanton, R. C. J. (2007b). Distribution and reproductive biology of the sandbar shark, Carcharhinus plumbeus (Nardo), in Western Australian waters. Marine and Freshwater Research, 58(1), 116-126.</t>
  </si>
  <si>
    <t>McAuley, R. B., Simpfendorfer, C. A., Hyndes, G. A., Allison, R. R., Chidlow, J. A., Newman, S. J., &amp; Lenanton, R. C. (2006). Validated age and growth of the sandbar shark, Carcharhinus plumbeus (Nardo 1827) in the waters off Western Australia. In Special Issue: Age and Growth of Chondrichthyan Fishes: New Methods, Techniques and Analysis (pp. 385-400). Springer, Dordrecht.</t>
  </si>
  <si>
    <t>McAuley, R., Lenanton, R., Chidlow, J., Allison, R., &amp; Heist, E. (2005). Biology and stock assessment of the thickskin (sandbar) shark, Carcharhinus plumbeus, in Western Australia and further refinement of the dusky shark, Carcharhinus obscurus, stock assessment. Fisheries Research Report, 151.</t>
  </si>
  <si>
    <t>Mitani, F., and Ida, E. (1964). A study on the growth and age of the jack mackerel in the East China Sea. Bull. Jpn. Soc. Sci. Fish., 30, 968-977.</t>
  </si>
  <si>
    <t>Moran M., Edmonds J., Jenke J., Cassels G. &amp; Burton C. (1993) Fisheries biology of emperors (Lethrinidae) in North-West Australian coastal waters. FRDC Project 89/ 20 Final Report. Perth: Fisheries Department of Western Australia, 58 pp.</t>
  </si>
  <si>
    <t>Permitin, Y. E. (1973). Fecundity and reproductive biology of icefish (Chaenichthidae), fish of the family Muraenolepidae and dragonfish (Bathydraconidae) of the Scotia Sea (Antarctica).</t>
  </si>
  <si>
    <t>Pitt, T. K. (1966). Sexual maturity and spawning of the American plaice, Hippoglossoides platessoides (Fabricius), from Newfoundland and Grand Bank areas. Journal of the Fisheries Board of Canada, 23(5), 651-672.</t>
  </si>
  <si>
    <t>Powter, D. M., &amp; Gladstone, W. (2008a). Demographic analysis of the Port Jackson shark Heterodontus portusjacksoni in the coastal waters of eastern Australia. Marine and Freshwater Research, 59(5), 444-455.</t>
  </si>
  <si>
    <t>Powter, D. M., &amp; Gladstone, W. (2008b). The reproductive biology and ecology of the Port Jackson shark Heterodontus portusjacksoni in the coastal waters of eastern Australia. Journal of Fish Biology, 72(10), 2615-2633.</t>
  </si>
  <si>
    <t>Sadovy, Y., Kulbicki, M., Labrosse, P., Letourneur, Y., Lokani, P., &amp; Donaldson, T. J. (2003). The humphead wrasse, Cheilinus undulatus: synopsis of a threatened and poorly known giant coral reef fish. Reviews in fish Biology and Fisheries, 13(3), 327-364.</t>
  </si>
  <si>
    <t>Simpfendorfer, C. A. (1993a). Age and growth of the Australian sharpnose shark, Rhizoprionodon taylori, from north Queensland, Australia. Environmental biology of Fishes, 36(3), 233-241.</t>
  </si>
  <si>
    <t>Simpfendorfer, C. A. (1993b). The biology of sharks of the family Carcharhinidae from the nearshore waters of Cleveland Bay, with particular reference to Rhizoprionodon taylori (Doctoral dissertation, James Cook University).</t>
  </si>
  <si>
    <t>Simpfendorfer, C. A. (1999). Mortality estimates and demographic analysis for the Australian sharpnose shark, Rhizoprionodon taylori, from northern Australia. Fishery Bulletin, 97(4), 978-986.</t>
  </si>
  <si>
    <t>Stanley, R. D. (2005). Life history characteristics for silvergray rockfish (Sebastes brevispinis) in British Columbia waters and the implications for stock assessment and management. Fishery Bulletin, 103(4), 670-684.</t>
  </si>
  <si>
    <t>Tagart, J., Wallace, F., &amp; Ianelli, J. N. (2000). Status of the yellowtail rockfish resource in 2000. Pacific Fishery Management Council.</t>
  </si>
  <si>
    <t>Taylor, I. G. (2008). Modeling spiny dogfish population dynamics in the Northeast Pacific (Doctoral dissertation, University of Washington).</t>
  </si>
  <si>
    <t>TenBrink, T. T., &amp; Buckley, T. W. (2013). Life-History Aspects of the Yellow Irish Lord (Hemilepidotus jordani) in the Eastern Bering Sea and Aleutian Islands. Northwestern naturalist, 94(2), 126-136.</t>
  </si>
  <si>
    <t>Tovar-Ávila, J., Troynikov, V. S., Walker, T. I., &amp; Day, R. W. (2009). Use of stochastic models to estimate the growth of the Port Jackson shark, Heterodontus portusjacksoni, off eastern Victoria, Australia. Fisheries Research, 95(2-3), 230-235.</t>
  </si>
  <si>
    <t>Tovar-Ávila, J., Walker, T. I., &amp; Day, R. W. (2007). Reproduction of Heterodontus portusjacksoni in Victoria, Australia: evidence of two populations and reproductive parameters for the eastern population. Marine and Freshwater Research, 58(10), 956-965.</t>
  </si>
  <si>
    <t>Walker, T. I. (2007). Spatial and temporal variation in the reproductive biology of gummy shark Mustelus antarcticus (Chondrichthyes: Triakidae) harvested off southern Australia. Marine and Freshwater Research, 58(1), 67-97.</t>
  </si>
  <si>
    <t>Walsh, S. J., &amp; Morgan, M. J. (1999). Variation in maturation of yellowtail flounder (Pleuronectes ferruginea) on the Grand Bank. Journal of Northwest Atlantic Fishery Science, 25, 47-60.</t>
  </si>
  <si>
    <t>Webb, B. F. (1976). Aspects of the biology of jack mackerel Trachurus declivis (Jenyns) from south east Australian waters. Tasmanian Fisheries Research (Australia).</t>
  </si>
  <si>
    <t>Wilderbuer, T. K., Nichol, D. G., &amp; Aydin, K. (2008). Arrowtooth Flounder. Bering Sea and Aleutian Islands Stock Assessment and Fishery Evaluation. North Pacific Fishery Management Council, Anchorage, Alaska</t>
  </si>
  <si>
    <t>Zimmermann, M. (1997). Maturity and fecundity of arrowtooth flounder, Atheresthes stomias, from the Gulf of Alaska. Oceanographic Literature Review, 12(44), 1548.</t>
  </si>
  <si>
    <t>Rao, P. V. (1963). Some aspects of'the biology of'Ghol’Pseudoseiaena diacanthus (Lecepede). Indian Journal of Fisheries, 10(2), 413-459.</t>
  </si>
  <si>
    <t>tm</t>
  </si>
  <si>
    <t>Age at maturity</t>
  </si>
  <si>
    <t>Length at maturity</t>
  </si>
  <si>
    <t>Ammodytidae</t>
  </si>
  <si>
    <t>Ammodytes</t>
  </si>
  <si>
    <t>marinus</t>
  </si>
  <si>
    <t>Shetland sandeel</t>
  </si>
  <si>
    <t>North Sea</t>
  </si>
  <si>
    <t>Cook, 2004</t>
  </si>
  <si>
    <t>Gislason et al., 2008</t>
  </si>
  <si>
    <t>Gauld &amp; Hutcheon, 1990</t>
  </si>
  <si>
    <t>Scombridae</t>
  </si>
  <si>
    <t>Thunnus</t>
  </si>
  <si>
    <t>albacares</t>
  </si>
  <si>
    <t>Hampton, 2000</t>
  </si>
  <si>
    <t>TL = 0 + 1.108 x FL</t>
  </si>
  <si>
    <t>Male length at maturity unknown and assumed to be similar female length at maturity</t>
  </si>
  <si>
    <t>obesus</t>
  </si>
  <si>
    <t>Harley et al., 2014</t>
  </si>
  <si>
    <t>Farley et al., 2017</t>
  </si>
  <si>
    <t>from Lm</t>
  </si>
  <si>
    <t>Davis, 2003; Farley et al., 2017</t>
  </si>
  <si>
    <t>TL = 0 + 1.100 x FL</t>
  </si>
  <si>
    <t>Katsuwonus</t>
  </si>
  <si>
    <t>pelamis</t>
  </si>
  <si>
    <t>Skipjack tuna</t>
  </si>
  <si>
    <t>McKechnie et al., 2016</t>
  </si>
  <si>
    <t>Tanabe et al., 2003</t>
  </si>
  <si>
    <t>Ashida et al., 2007; 2010</t>
  </si>
  <si>
    <t>Then et al., 2014</t>
  </si>
  <si>
    <t>M is adult M as only adults were considered in the study. Lm as average of first and 100% maturity</t>
  </si>
  <si>
    <t>von Bertalanffy parameters as average between male and female</t>
  </si>
  <si>
    <t>from tm</t>
  </si>
  <si>
    <t>Lorance et al., 2001; 2003</t>
  </si>
  <si>
    <t>Estimated M as adult survival. Standard length was measured as head +trunk +tail lengths and is therefore assumed to equal TL</t>
  </si>
  <si>
    <t>Gjøsaeter, 1981a</t>
  </si>
  <si>
    <t>Yellowtail horse mackerel</t>
  </si>
  <si>
    <t>Maturity studies were only available for females which mature ~ at 1- 2 years</t>
  </si>
  <si>
    <t>Protogynous hermaphrodite. Hood and Pauly used the Choat dataset to estimate growth.</t>
  </si>
  <si>
    <t>Maturity of the exploited stock is between 1.33 and 3.62 years for males and females respectively (Marriott et al., 2010) and M is therefore considered to reflect adult M. FL to TL from mean on FishBase.</t>
  </si>
  <si>
    <t>M for 2 ages given but considered unreliable by authors. Can change sex, females mature at 2-3 years. Lm is mean of first and 100% mature male and female. TL to FL average from FishBase measurements</t>
  </si>
  <si>
    <t>cristiceps</t>
  </si>
  <si>
    <t>Daggerhead seabream</t>
  </si>
  <si>
    <t>TL=1.1432 x FL -3.6024</t>
  </si>
  <si>
    <t>St Mary's Bay, Newfoundland, Canada</t>
  </si>
  <si>
    <t>Average of male and female maturity and longevity estimates</t>
  </si>
  <si>
    <t>M was estimated from length frequencies reported in Bonham et al., 1949 for the outside fishery from 1942-1943. At this time period the stock was basically at virgin biomass (Gallucci et al., 2011; Gertseva &amp; Taylor, 2012). Ages were obtained via growth function. Female M could not be estimated due to adult females not showing consistent decline over age.</t>
  </si>
  <si>
    <t>Davies et al., 2014</t>
  </si>
  <si>
    <t>Itano, 2000</t>
  </si>
  <si>
    <t>brevicauda shagensis</t>
  </si>
  <si>
    <t>Method</t>
  </si>
  <si>
    <t>LinfTL</t>
  </si>
  <si>
    <t>L0TL</t>
  </si>
  <si>
    <t>LmTL</t>
  </si>
  <si>
    <t>FL assumes to equal TL because of shape of the tail. M estimated as age-independent M and therefore assumed to represent adult M.</t>
  </si>
  <si>
    <t xml:space="preserve">Blacktip shark </t>
  </si>
  <si>
    <t>White spotted stingaree</t>
  </si>
  <si>
    <t>Garfish</t>
  </si>
  <si>
    <t>Pilchard</t>
  </si>
  <si>
    <t>Roundnose grenadier</t>
  </si>
  <si>
    <t>Southern hake</t>
  </si>
  <si>
    <t>Long-snouted seahorse</t>
  </si>
  <si>
    <t>Glacier lantern fish</t>
  </si>
  <si>
    <t>Ocean surgeonfish</t>
  </si>
  <si>
    <t>Brown surgeonfish</t>
  </si>
  <si>
    <t>Black cardinalfish</t>
  </si>
  <si>
    <t>Leerfish</t>
  </si>
  <si>
    <t>Jack mackerel</t>
  </si>
  <si>
    <t>Mackerel icefish</t>
  </si>
  <si>
    <t>Tarakihi</t>
  </si>
  <si>
    <t>Pearl perch</t>
  </si>
  <si>
    <t>Whitebarred goby</t>
  </si>
  <si>
    <t>Starry goby</t>
  </si>
  <si>
    <t>Striped goby</t>
  </si>
  <si>
    <t>Decorated goby</t>
  </si>
  <si>
    <t>Mural goby</t>
  </si>
  <si>
    <t>Humphead wrasse</t>
  </si>
  <si>
    <t>Spangled emperor</t>
  </si>
  <si>
    <t>Hussar</t>
  </si>
  <si>
    <t>Mutton snapper</t>
  </si>
  <si>
    <t>Crimson snapper</t>
  </si>
  <si>
    <t>Scarlet seaperch</t>
  </si>
  <si>
    <t>Five-line snapper</t>
  </si>
  <si>
    <t>Brownstripe red snapper</t>
  </si>
  <si>
    <t>Yellowbelly rockcod</t>
  </si>
  <si>
    <t>Whitetail major</t>
  </si>
  <si>
    <t>Island major</t>
  </si>
  <si>
    <t>Daisy parrotfish</t>
  </si>
  <si>
    <t>Bridled parrotfish</t>
  </si>
  <si>
    <t>Stoplight parrotfish</t>
  </si>
  <si>
    <t>Yellowfin tuna</t>
  </si>
  <si>
    <t>Bigeye tuna</t>
  </si>
  <si>
    <t>Humpback grouper</t>
  </si>
  <si>
    <t>Red hind</t>
  </si>
  <si>
    <t>Snowy grouper</t>
  </si>
  <si>
    <t>Coral trout</t>
  </si>
  <si>
    <t>Arrowtooth flounder</t>
  </si>
  <si>
    <t>Yellowtail flounder</t>
  </si>
  <si>
    <t>Yellow Irish lord</t>
  </si>
  <si>
    <t>Silvergray rockfish</t>
  </si>
  <si>
    <t>Darkblotched rockfish</t>
  </si>
  <si>
    <t>Yellowtail rockfish</t>
  </si>
  <si>
    <t>Canary rockfish</t>
  </si>
  <si>
    <t>Redstripe rockfish</t>
  </si>
  <si>
    <t>Yellowmouth rockfish</t>
  </si>
  <si>
    <t>Yelloweye rockfish</t>
  </si>
  <si>
    <t>Sharpchin rockfish</t>
  </si>
  <si>
    <t>Black oreo</t>
  </si>
  <si>
    <t>Eastern Gulf of Mexico</t>
  </si>
  <si>
    <t>Central coast New South Wales, Australia</t>
  </si>
  <si>
    <t>West coast of India</t>
  </si>
  <si>
    <t>West coast of the South Island</t>
  </si>
  <si>
    <t>East coast North Island, New Zealand</t>
  </si>
  <si>
    <t>Southern Angola</t>
  </si>
  <si>
    <t xml:space="preserve">Northern Great Barrier Reef </t>
  </si>
  <si>
    <t>Western tropical Pacific</t>
  </si>
  <si>
    <t>Aasen, O. (1961). Some observations on the biology of the porbeagle shark (Lamna nasus L.). ICES.</t>
  </si>
  <si>
    <t>Aasen, O. (1963). Length and growth of the porbeagle (Lamna nasus, Bonnaterre) in the North West Atlantic.</t>
  </si>
  <si>
    <t>Ahrenholtz, D. W. (1981). Recruitment and exploitation of Gulf Menhaden, Brevoortia tyrannus. Fish. Bull. US, 79, 325-336.</t>
  </si>
  <si>
    <t>Annala, J. H., Wood, B. A., &amp; Smith, D. W. (1989). Age, growth, mortality, and yield-per-recruit estimates of tarakihi from the Chatham Islands during 1984 and 1985. Fisheries Research Centre Internal Report, (119), 23.</t>
  </si>
  <si>
    <t>Archibald, C. P., Shaw, W., &amp; Leaman, B. M. (1981). Growth and mortality estimates of rockfishes (Scorpaenidae) from BC coastal waters, 1977-1979. Department of Fisheries and Oceans, Resource Services Branch, Pacific Biological Station.</t>
  </si>
  <si>
    <t>Bailey, R. S., &amp; Kunzlik, P. A. (1984). Variation in growth and mortality rates of Norway pout Trisopterus esmarkii (Nilsson).</t>
  </si>
  <si>
    <t>Banerji, S. K. (1973). An assessment of the exploited pelagic fisheries of the Indian seas.</t>
  </si>
  <si>
    <t>Beckmann, A. T. (1998). Reproductive biology, growth, and natural mortality of Puget Sound rockfish, Sebastes emphaeus (Starks, 1911). Fish. Bull., 96, 352-356.</t>
  </si>
  <si>
    <t>Bonham, K., Sanford, F. B., Clegg, W., &amp; Bucher, G. C. (1949). Biological and vitamin A studies of dogfish landed in the State of Washington (Squalus suckleyi). Washington Department of Fisheries Report, 49, 83-114.</t>
  </si>
  <si>
    <t>Booth, A. J., &amp; Buxton, C. D. (1997). The biology of the panga, Pterogymnus laniarius (Teleostei: Sparidae), on the Agulhas Bank, South Africa. Environmental Biology of Fishes, 49(2), 207-226.</t>
  </si>
  <si>
    <t>Buxton, C. D. (1993). Life-history changes in exploited reef fishes on the east coast of South Africa. Environmental Biology of Fishes, 36(1), 47-63.</t>
  </si>
  <si>
    <t>Campana, S. E., &amp; Canadian Science Advisory Secretariat. (2001). Analytical assessment of the porbeagle shark (Lamna nasus) population in the northwest Atlantic, with estimates of long-term sustainable yield. Canadian Science Advisory Secretariat.</t>
  </si>
  <si>
    <t>Choat, J. H., Robertson, D. R., Ackerman, J. L., &amp; Posada, J. M. (2003). An age-based demographic analysis of the Caribbean stoplight parrotfish Sparisoma viride. Marine Ecology Progress Series, 246, 265-277.</t>
  </si>
  <si>
    <t>Choat, J. H., Axe, L. M., &amp; Lou, D. C. (1996). Growth and longevity in fishes of the family Scaridae. Marine Ecology Progress Series, 145, 33-41.</t>
  </si>
  <si>
    <t>Cook, R. M. (2004). Estimation of the age-specific rate of natural mortality for Shetland sandeels. ICES Journal of Marine Science, 61(2), 159-164.</t>
  </si>
  <si>
    <t>COSEWIC. (2007). COSEWIC assessment and status report on the canary rockfish Sebastes pinniger in Canada. Committee on the Status of Endangered Wildlife in Canada. Ottawa. vii + 71 pp.</t>
  </si>
  <si>
    <t>Cowen, L., Walsh, S. J., Schwarz, C. J., Cadigan, N., &amp; Morgan, J. (2009). Estimating exploitation rates of migrating yellowtail flounder (Limanda ferruginea) using multistate mark–recapture methods incorporating tag loss and variable reporting rates. Canadian Journal of Fisheries and Aquatic Sciences, 66(8), 1245-1255.</t>
  </si>
  <si>
    <t>Curtis, J. M. R., &amp; Vincent, A. C. J. (2006). Life history of an unusual marine fish: survival, growth and movement patterns of Hippocampus guttulatus Cuvier 1829. Journal of Fish Biology, 68(3), 707-733.</t>
  </si>
  <si>
    <t>DFO. (2009). Recovery assessment of canary rockfish in British Columbia waters. DFO Can. Sci. Advis. Sec. Sci. Advis. Rep. 2009/041.</t>
  </si>
  <si>
    <t>Dunn, A. (2001). Stock assessment of hake (Merluccius australis) for the 2000–01 fishing year. New Zealand Fisheries Assessment Report, 22, 31.</t>
  </si>
  <si>
    <t>Dwyer, K. S., Walsh, S. J., &amp; Campana, S. E. (2003). Age determination, validation and growth of Grand Bank yellowtail flounder (Limanda ferruginea). ICES Journal of Marine Science, 60(5), 1123-1138.</t>
  </si>
  <si>
    <t>Edwards, R. R. C. (1980). Aspects of the population dynamics and ecology of the white spotted stingaree, Urolophus paucimaculatus Dixon, in Port Phillip Bay, Victoria. Marine and Freshwater Research, 31(4), 459-467.</t>
  </si>
  <si>
    <t>Everson, I. (1970). The population dynamics and energy budget of Notothenia neglecta Nybelin at Signy Island, South Orkney Islands.</t>
  </si>
  <si>
    <t>Fahy E. (1989). The spurdog Squalus acanthias (L.) fishery in south-west Ireland. Irish Fisheries Investigations Series B (Marine) 32: 22p.</t>
  </si>
  <si>
    <t>Faunce, C. H., Muller, R., &amp; O’Hop, J. (2007). Mortality estimates for mutton snapper, Lutjanus analis, inhabiting Florida waters. SEDAR 15aDW-16.</t>
  </si>
  <si>
    <t xml:space="preserve">Faunce, CH, Tunnell J, O’Hop J, Burton M, Feeley M, Muller R. (2007). Life history of the Lutjanus analis population inhabiting Florida waters. SEDAR report 15a. </t>
  </si>
  <si>
    <t>Fletcher, W. J. (1995). Application of the otolith weight–age relationship for the pilchard, Sardinops sagax neopilchardus. Canadian Journal of Fisheries and Aquatic Sciences, 52(4), 657-664.</t>
  </si>
  <si>
    <t>Forsberg, J. E. (2001). Aging manual for Pacific halibut: procedures and methods used at the International Pacific Halibut Commission. International Pacific Halibut Commission.</t>
  </si>
  <si>
    <t>Gislason, H., Daan, N., Rice, J., &amp; Pope, J. (2008). Does natural mortality depend on individual size. ICES CM.</t>
  </si>
  <si>
    <t>Gjøsaeter, J., (1981a). Growth, production and reproduction of myctophid fish Benthosema glaciale from western Norway and adjacent seas. Fiskdir. Skr. Ser. Havunders. 17(3):79-108.</t>
  </si>
  <si>
    <t>Grainger, E. H. (1953). On the age, growth, migration, reproductive potential and feeding habits of the Arctic char (Salvelinus alpinus) of Frobisher Bay, Baffin Island. Journal of the Fisheries Board of Canada, 10(6), 326-370.</t>
  </si>
  <si>
    <t>Hart, A. M., &amp; Russ, G. R. (1996). Response of herbivorous fishes to crown-of-thorns starfish Acanthaster planci outbreaks. III. Age, growth, mortality and maturity indices of Acanthurus nigrofuscus. Marine Ecology Progress Series, 136, 25-35.</t>
  </si>
  <si>
    <t>Heemstra, P.C. and J.E. Randall. (1993). FAO Species Catalogue. Vol. 16. Groupers of the world (family Serranidae, subfamily Epinephelinae). An annotated and illustrated catalogue of the grouper, rockcod, hind, coral grouper and lyretail species known to date. Rome: FAO. FAO Fish. Synop. 125(16):382 p.</t>
  </si>
  <si>
    <t>Hernaman, V., and P. L. Munday. (2005a). Life-history characteristics of coral reef gobies. I. Growth and life-span. Marine Ecology Progress Series 290:207-221.</t>
  </si>
  <si>
    <t>Hernaman, V., and P. L. Munday. (2005b). Life-history characteristics of coral reef gobies. II. Mortality rate, mating system and timing of maturation. Marine Ecology Progress Series 290:223-237.</t>
  </si>
  <si>
    <t>Hoenig, J. M., Barrowman, N. J., Hearn, W. S., &amp; Pollock, K. H. (1998). Multiyear tagging studies incorporating fishing effort data. Canadian Journal of Fisheries and Aquatic Sciences, 55(6), 1466-1476.</t>
  </si>
  <si>
    <t>Holden, M. J., &amp; Meadows, P. S. (1962). The structure of the spine of the spur dogfish (Squalus acanthias L.) and its use for age determination. Journal of the Marine Biological association of the United Kingdom, 42(2), 179-197.</t>
  </si>
  <si>
    <t>Holden, M. J., &amp; Meadows, P. S. (1964). The fecundity of the spurdog (Squalus acanthias L.). ICES Journal of Marine Science, 28(3), 418-424.</t>
  </si>
  <si>
    <t>Holden, M. J. (1968). rational exploitation of the Scottish-Norwegian stocks of spurdogs (Squalus acanthias L.).</t>
  </si>
  <si>
    <t>Hood, L. and D. Pauly. (2017). Tentative von Bertalanffy growth parameters of little-studied fishes. pp. 58-60. In Pauly D., Hood L., and Stergiou K.I. (eds.) Belated contributions on the biology of fish, fisheries and features of their ecosystems. Fisheries Centre Research Reports 25(1). Institute for the Oceans and Fisheries, University of British Columbia.</t>
  </si>
  <si>
    <t>Horn, P. L. (1991). Assessment of Jack Mackerel Stocks Off the Central West Coast, New Zealand for the 1991-92 Fishing Year. MAF Fisheries.</t>
  </si>
  <si>
    <t>Hutchings, K., &amp; Griffiths, M. H. (2010). Life-history strategies of Umbrina robinsoni (Sciaenidae) in warm-temperate and subtropical South African marine reserves. African Journal of Marine Science, 32(1), 37-53.</t>
  </si>
  <si>
    <t>Hutchinson, C. E., &amp; TenBrink, T. T. (2011). Age determination of the Yellow Irish Lord: management implications as a result of new estimates of maximum age. North American Journal of Fisheries Management, 31(6), 1116-1122.</t>
  </si>
  <si>
    <t>Iversen, S. A., Zhu, D., Johannessen, A., &amp; Toresen, R. (1993). Stock size, distribution and biology of anchovy in the Yellow Sea and East China Sea. Fisheries Research, 16(2), 147-163.</t>
  </si>
  <si>
    <t>Jones, B.C. &amp; Geen, G.H. (1977). Age and growth of spiny dogfish (Squalus acanthias) in the Strait of Georgia, British Columbia. Fisheries and Marine Service Research Development Technical Report, 699, 16 pp.</t>
  </si>
  <si>
    <t>Jones, G. K. (1990). Growth and mortality in a lightly fished population of garfish (Hyporhamphus melanochir), in Baird Bay, South Australia. Transactions of the Royal Society of South Australia (Australia).</t>
  </si>
  <si>
    <t>Killam, K. A. (1987). Reproductive biology, age and growth of the blacktip shark, Carcharhinus limbatus (Valenciennes) near Tampa Bay, Florida. M.S. Thesis, Univ. South Florida, St. Petersburg, 112 p</t>
  </si>
  <si>
    <t>Kovacic, M. (2006). Age structure, growth and mortality of the striped goby, Gobius vittatus (Gobiidae) in the northern Adriatic Sea. Scientia marina, 70(4), 635-641.</t>
  </si>
  <si>
    <t>Krishnamoorthi, B. (1971). Biology of the threadfin bream, Nemipterus japonicus (Block). Indian Journal of Fisheries, 18(1&amp;2), 1-21.</t>
  </si>
  <si>
    <t>Krishnamoorthi, B. (1976). A note on mortality rates and yield per recruit in Nemipterus japonicus (Block). Indian Journal of Fisheries, 23(1&amp;2), 252-255.</t>
  </si>
  <si>
    <t>Kritzer, J. P. (2002). Stock structure, mortality and growth of the decorated goby, Istigobius decoratus (Gobiidae), at Lizard Island, Great Barrier Reef. Environmental biology of fishes, 63(2), 211-216.</t>
  </si>
  <si>
    <t>Kurup, K. N., Balan, V., Vijayaraghavan, P., &amp; Kumaran, M. (1989). Stock assessment of the Indian oil-sardinella (Sardinella longiceps) off the West Coast of India.</t>
  </si>
  <si>
    <t>Leaman, B. M., &amp; Nagtegaal, D. A. (1987). Age validation and revised natural mortality rate for yellowtail rockfish. Transactions of the American Fisheries Society, 116(2), 171-175.</t>
  </si>
  <si>
    <t>Lewis, R. M., &amp; Roithmayr, C. M. (1980). SPAWNING AND SEXUAL MATURITY OF GULF MENHADEN, BREVOORTIA-PATRONUS. Fishery Bulletin, 78(4), 947-951.</t>
  </si>
  <si>
    <t>Ling, J. K. (1958). The Sea Garfish, Reporhamphus melanochir (Cuvier &amp; Valenciennes)(Hemi-ramphidae), in South Australia: Breeding, Age Determination, and Growth Rate. Marine and Freshwater Research, 9(1), 60-110.</t>
  </si>
  <si>
    <t>Bethea, D. M., Hale, L., Carlson, J. K., Cortés, E., Manire, C. A., &amp; Gelsleichter, J. (2007). Geographic and ontogenetic variation in the diet and daily ration of the bonnethead shark, Sphyrna tiburo, from the eastern Gulf of Mexico. Marine Biology, 152(5), 1009-1020.</t>
  </si>
  <si>
    <t>Lorance, P., Garren, F., &amp; Vigneau, J. (2003). Age estimation of roundnose grenadier (Coryphaenoides rupestris), effects of uncertainties on ages. Journal of Northwest Atlantic Fishery Science, 31, 387.</t>
  </si>
  <si>
    <t>Lorance, P., Dupouy, H., &amp; Allain, V. (2001). Assessment of the roundnose grenadier (Coryphaenoides rupestris) stock in the Rockall Trough and neighbouring areas (ICES Sub-areas V–VII). Fisheries Research, 51(2-3), 151-163.</t>
  </si>
  <si>
    <t>Marriott, R. J., Adams, D. J., Jarvis, N. D. C., Moran, M. J., Newman, S. J., &amp; Craine, M. (2011). Age‐based demographic assessment of fished stocks of Lethrinus nebulosus in the Gascoyne Bioregion of Western Australia. Fisheries Management and Ecology, 18(2), 89-103.</t>
  </si>
  <si>
    <t>Martell, S., I. J. Stewart, and B. M. Leaman. (2013). Optimal harvest rates for Pacific halibut. In: International Pacific Halibut Commission Report of Assessment and Research Activities 2012, pp. 207-237. IPHC, Seattle, Washington.</t>
  </si>
  <si>
    <t>Martin, M. H. (1997). Data report: 1996 Gulf of Alaska bottom trawl survey. US Department of Commerce, National Oceanic and Atmospheric Administration, National Marine Fisheries Service, Alaska Fisheries Science Center.</t>
  </si>
  <si>
    <t>McMillan, P. J., Doonan, I. J., &amp; Hart, A. C. (1997). Revision of black oreo life history parameters. Ministry of Fisheries.</t>
  </si>
  <si>
    <t>McPherson, G. R., Squire, L., &amp; O’Brien, J. (1992). Reproduction of three dominant Lutjanus species of the Great Barrier Reef inter-reef fishery. Asian Fish. Sci, 5(1), 15-24.</t>
  </si>
  <si>
    <t>Meekan, M. G., Ackerman, J. L., &amp; Wellington, G. M. (2001). Demography and age structures of coral reef damselfishes in the tropical eastern Pacific Ocean. Marine Ecology Progress Series, 212, 223-232.</t>
  </si>
  <si>
    <t>Minet, J. P. (1974). Données sur la biologie de la plie américaine Hippoglossoides platessoides des bancs méridionaux de Terre-Neuve et du plateau du Cap Breton. Institut scientifique et technique des pêches maritimes.</t>
  </si>
  <si>
    <t>Mitani, F. (1966). Studies on the resources of the jack mackerel, Trachurus japonicus (THMMINCK ET SCHLEGEL), in the East China Sea-III,-Natural and fishing mortality coefficients. Bull. Japan Soc. Scientific Fish., 32, 57-63.</t>
  </si>
  <si>
    <t>Moore, C. M., &amp; Labisky, R. F. (1984). Population parameters of a relatively unexploited stock of snowy grouper in the lower Florida Keys. Transactions of the American Fisheries Society, 113(3), 322-329.</t>
  </si>
  <si>
    <t>Moore, J. W. (1975a). Distribution, movements, and mortality of anadromous arctic char, Salvelinus alpinus L., in the Cumberland Sound area of Baffin Island. Journal of Fish Biology 7:339-348.</t>
  </si>
  <si>
    <t>Moore, J. W. (1975b). Reproductive biology of anadromous arctic char, Salvelinus alpinus (L.)? in the Cumberland Sound area of Baffin Island. Journal of Fish Biology, 7(2), 143-151.</t>
  </si>
  <si>
    <t>Moulton, P. L., Walker, T. I., &amp; Saddlier, S. R. (1992). Age and growth studies of gummy shark, Mustelus antarcticus Gunther, and School Shark, Galeorhinus galeus (Linnaeus), from Souther Australian Waters. Marine and Freshwater Research, 43(5), 1241-1267.</t>
  </si>
  <si>
    <t>Nelson, W. R., &amp; Ahrenholz, D. W. (1986). POPULATION AND FISHERY CHARACTERISTICS OF GULF MENHADEN, BREVOORTIA-PATRONUS. Fishery Bulletin, 84(2), 311-325.</t>
  </si>
  <si>
    <t>Newman, S. J. (2002a). Age, growth, mortality and population characteristics of the pearl perch, Glaucosoma buergeri Richardson 1845, from deeper continental shelf waters off the Pilbara coast of north‐western Australia. Journal of Applied Ichthyology, 18(2), 95-101.</t>
  </si>
  <si>
    <t>Newman, S. J. (2002b). Growth, age estimation and preliminary estimates of longevity and mortality in the moses perch, Lutjanus russelli (Indian ocean form), from continental shelf waters off north-western Australia. Asian Fisheries Science, 15(3), 283-294.</t>
  </si>
  <si>
    <t>Newman, S. J. (2002c). Growth rate, age determination, natural mortality and production potential of the scarlet seaperch, Lutjanus malabaricus Schneider 1801, off the Pilbara coast of north-western Australia. Fisheries Research, 58(2), 215-225.</t>
  </si>
  <si>
    <t>Newman, S. J., Williams, D. M., &amp; Russ, G. R. (1996). Age validation, growth and mortality rates of the tropical snappers (Pisces: Lutjanidae) Lutjanus adetii (Castelnau, 1873) and L. quinquelineatus (Bloch, 1790) from the central Great Barrier Reef, Australia. Marine and Freshwater Research, 47(4), 575-584.</t>
  </si>
  <si>
    <t>Newman, S. J., Cappo, M., &amp; Williams, D. M. (2000a). Age, growth, mortality rates and corresponding yield estimates using otoliths of the tropical red snappers, Lutjanus erythropterus, L. malabaricus and L. sebae, from the central Great Barrier Reef. Fisheries Research, 48(1), 1-14.</t>
  </si>
  <si>
    <t>Newman, S. J., Cappo, M., &amp; Williams, D. M. (2000b). Age, growth and mortality of the stripey, Lutjanus carponotatus (Richardson) and the brown-stripe snapper, L. vitta (Quoy and Gaimard) from the central Great Barrier Reef, Australia. Fisheries Research, 48(3), 263-275.</t>
  </si>
  <si>
    <t>Nichol, D. G. (1990). Life history examination of darkblotched rockfish (Sebastes crameri) off the Oregon coast.</t>
  </si>
  <si>
    <t>O'Connell, V., C. Brylinsky, and D. Carlile. (2002). Demersal shelf rockfish stock assessment for 2003. Regional Information Report No. 1J02-44. Alaska Department of Fish and Game, Juneau, Alaska. 48 p.</t>
  </si>
  <si>
    <t>Olsen, A. M. (1954). The Biology, Migration, and Growth Rate of the School Shark, Galeorhinus australis (Macleay)(Carcharhanidae) in the South-eastern Australian Waters. Marine and Freshwater Research, 5(3), 353-410.</t>
  </si>
  <si>
    <t>Olsen, A. M. (1984). Synopsis of biological data on the school shark, Galeorhinus australis (Macleay 1881) (Vol. 139). Food &amp; Agriculture Org..</t>
  </si>
  <si>
    <t>Passerotti, M. S., &amp; Baremore, I. E. (2012a). Updates to age and growth parameters for blacktip shark, Carcharhinus limbatus, in the Gulf of Mexico. Southeast Fisheries Science Center, SEDAR29-WP-18, North Charleston, South Carolina, Available: http://www. sefsc. noaa. gov/sedar/download/S29_WP_18_Passerotti% 20and% 20Baremore, 202012.</t>
  </si>
  <si>
    <t>Pauly, D. (1980). On the interrelationships between natural mortality, growth parameters, and mean environmental temperature in 175 fish stocks. ICES journal of Marine Science, 39(2), 175-192.</t>
  </si>
  <si>
    <t>Pitt, T. K. (1967). Age and growth of American plaice (Hippoglossoides platessoides) in the Newfoundland area of the Northwest Atlantic. Journal of the Fisheries Board of Canada, 24(5), 1077-1099.</t>
  </si>
  <si>
    <t>Pitt, T. K. (1973). Assessment of American plaice stocks on the Grand Bank, ICNAF Divisions 3L and 3N. ICNAF Res. Bull, 10, 63-77.</t>
  </si>
  <si>
    <t>Potts, W. M., Sauer, W. H. H., Childs, A. R., &amp; Duarte, A. D. C. (2008). Using baseline biological and ecological information to design a Traffic Light Precautionary Management Framework for leerfish Lichia amia (Linnaeus 1758) in southern Angola. African Journal of Marine Science, 30(1), 113-121.</t>
  </si>
  <si>
    <t>Raitt, D. F. S. (1968). Synopsis of biological data on the Norway pout Trisopterus esmarkii (Nilsson, 1855). FAO.</t>
  </si>
  <si>
    <t>Ramos, R. (2007). Age and growth estimates for the Port Jackson shark, Heterodontus portusjacksoni,(Meyer, 1793) from New South Wales, Australia.</t>
  </si>
  <si>
    <t>Robertson, D. R., Ackerman, J. L., Choat, J. H., Posada, J. M., &amp; Pitt, J. (2005). Ocean surgeonfish Acanthurus bahianus. I. The geography of demography. Marine Ecology Progress Series, 295, 229-244.</t>
  </si>
  <si>
    <t>Russ, G. R., Lou, D. C., Higgs, J. B., &amp; Ferreira, B. P. (1998). Mortality rate of a cohort of the coral trout, Plectropomus leopardus, in zones of the Great Barrier Reef Marine Park closed to fishing. Marine and Freshwater Research, 49(6), 507-511.</t>
  </si>
  <si>
    <t>Sadovy, Y., Punt, A. E., Cheung, W., Vasconcellos, M., Suharti, S., &amp; Mapstone, B. D. (2007). Stock assessment approach for the Napoleon fish, Cheilinus undulatus, in Indonesia: A tool for quota-setting for data-poor fisheries under CITES Appendix II. Non-detriment finding requirements.</t>
  </si>
  <si>
    <t>Schaaf, W. E., &amp; Huntsman, G. R. (1972). Effects of fishing on the Atlantic menhaden stock: 1955–1969. Transactions of the American Fisheries Society, 101(2), 290-297.</t>
  </si>
  <si>
    <t>Schueller, A. M., Vaughan, D. S., &amp; Smith, J. W. (2012). Length-length conversions and weight-length relationships for Gulf Menhaden (Brevoortia patronus) in the Gulf of Mexico. Gulf of Mexico Science, 30(1), 9.</t>
  </si>
  <si>
    <t>SEDAR. (2012). Southeast data, assessment, and review: stock assessment report of SEDAR 29: HMS Gulf of Mexico Blacktip Shark. 4055 Faber Place Drive, Suite 201, North Charleston, SC 29405, USA.</t>
  </si>
  <si>
    <t>Shlibanov, V. I. (1989). Growth and natural mortality of Patagonian rockcod (Patagonothothen guntheri shagensis) from Shag Rocks shelf. Scientific Committee for the Conservation of Antarctic Marine Living Resources, Selected Scientific Papers, 111-121.</t>
  </si>
  <si>
    <t>Sosinski, J. (1978). Characteristics of the North Sea spurdog (Squalus acanthias L.) stock. Acta Ichthyologica et Piscatoria, 8, 9-22.</t>
  </si>
  <si>
    <t>St John, J. (1999). Ontogenetic changes in the diet of the coral reef grouper Plectropomus leopardus (Serranidae): patterns in taxa, size and habitat of prey. Marine ecology progress series, 180, 233-246.</t>
  </si>
  <si>
    <t>Stewart, J., Ballinger, G. and Ferrell, D. (2010). Review of the biology and fishery for Australian sardines (Sardinops sagax) in New South Wales – 2010. Industry &amp; Investment NSW – Fisheries Research Report No. 26. ISSN 1837-2120. 59pp.</t>
  </si>
  <si>
    <t>Swinsburg, W. A. (2013). Survival of the blacktip shark, Carcharhinus limbatus.</t>
  </si>
  <si>
    <t>Tracey, D. M., George, K., &amp; Gilbert, D. J. (2000). Estimation of age, growth, and mortality parameters of black cardinalfish (Epigonus telescopus) in QMA 2 (east coast North Island). Ministry of Fisheries.</t>
  </si>
  <si>
    <t>Vega, N. M., Gallucci, V. F., Hauser, L., &amp; Franks, J. (2009). Differences in growth in the spiny dogfish over a latitudinal gradient in the Northeast Pacific. Biology and Management of Dogfish Sharks'.(Eds. VF Gallucci, GA McFarlane, and G. Bargmann) pp, 169-180.</t>
  </si>
  <si>
    <t>Vooren, C. M. (1977). Growth and mortality of tarakihi (Pisces: Cheilodactylidae) in lightly exploited populations. New Zealand Journal of Marine and Freshwater Research, 11(1), 1-22.</t>
  </si>
  <si>
    <t>Walker, T. I., Brown, L. P., &amp; Taylor, B. L. (2000). Southern shark tag database project. Marine and Freshwater Resources Institute.</t>
  </si>
  <si>
    <t>Walker, T. I., Hudson, R. J., Taylor, B. L., &amp; Berrie, S. E. (2002). Southern Shark Monitoring Project 2003. Report to Australian Fisheries Management Authority. In.</t>
  </si>
  <si>
    <t>Washington, P.M., R. Gowan, and D.H. Ito. (1978). A biological report on eight species of rockfish (Sebastes spp.) from Puget Sound, Washington. NOAA/NMFS, Northwest and Alaska Fisheries Center Processed Report, Reprint F, 50 p.</t>
  </si>
  <si>
    <t>Wilderbuer, T. K., &amp; Turnock, B. J. (2009). Sex-specific natural mortality of arrowtooth flounder in Alaska: Implications of a skewed sex ratio on exploitation and management. North American Journal of Fisheries Management, 29(2), 306-322.</t>
  </si>
  <si>
    <t>Williams, A. J., Davies, C. R., Mapstone, B. D., Currey, L. M., Welch, D. J., Begg, G. A., ... &amp; Simpfendorfer, C. A. (2009). Age-based demography of humpback grouper Cromileptes altivelis: implications for fisheries management and conservation. Endangered Species Research, 9(1), 67-79.</t>
  </si>
  <si>
    <t>Xu, G., Zheng, W., &amp; Huang, G. (1994). Atlas of the fishes and their biology in Daya Bay. Anhui Scientific and Technical Publishers, PROC, 311.</t>
  </si>
  <si>
    <t>Chen, D. G., &amp; Xiao, Y. (2006). A general model for analyzing data from mark-recapture experiments with an application to the Pacific halibut. Environmental and Ecological Statistics, 13(2), 149-161.</t>
  </si>
  <si>
    <t>Rao, K. V. (1966). Age and growth of'Ghol', Pseudosciaena diacanthus (Lacepede) in Bombay and Saurashtra waters. Indian Journal of Fisheries, 13(1&amp;2), 251-292.</t>
  </si>
  <si>
    <t>Rao, K. V. (1968). Estimates of mortality and yield per recruit of'ghol'Pseudosciaena diacanthus (Lacepede). Indian Journal of Fisheries, 15(1&amp;2), 88-98.</t>
  </si>
  <si>
    <t>Swain, D. P., Jonsen, I. D., &amp; Myers, R. A. (2006). Recovery potential assessment of 4T and 4VW winter skate (Leucoraja ocellata): population models. Fisheries and Oceans Canada, Science.</t>
  </si>
  <si>
    <t>Mean Sea surface Temperature</t>
  </si>
  <si>
    <t>M was estimated by subtracting the average fishing mortality from 1981-2010 of 0.0106 per year (range = 0.0036-0.0208) (SEDAR, 2012) from total mortality estimates. Tagging rates were low until 1988.</t>
  </si>
  <si>
    <t xml:space="preserve">M was estimated by subtracting the average fishing mortality from 1981-2010 of 0.0106 per year (range = 0.0036-0.0208) (SEDAR, 2012) from total mortality estimates. Tagging rates were low until 1988. </t>
  </si>
  <si>
    <t>M was estimated from tag-returns using the Hoenig et al. (1998) method. A description of the data can be found in McAuley et al. (2007a). Average tag reporting rates per year (mean across regions) and tag shedding rates were taken from the same study. The tag shedding rate was incorporated in the tag-returns via: numbers recapture/(exp(-tag shedding rate)). Only individuals that were at liberty for &gt; 90 days were included in the analysis.</t>
  </si>
  <si>
    <t>Averages across regions for M, tmax, VB, Lm and tm. Average for FL to TL from Fish base</t>
  </si>
  <si>
    <t>Maturity information absent but M was approximately constant from month 2 onwards and M was therefore assumed to reflect adult M.</t>
  </si>
  <si>
    <t>Age frequency only given for combined sexes with a peak of age 7. Therefore it is likely that the catch curve results represents adult M. Growth for females highly doubtful and not considered.</t>
  </si>
  <si>
    <t>Age frequency only given for combined sexes with a peak of age 7. Therefore it is likely that the catch curve results represents adult M.</t>
  </si>
  <si>
    <t>Age frequency only given for combined sexes with a peak of age 5. Therefore it is likely that the catch curve results represents adult M.</t>
  </si>
  <si>
    <t>M was considered adult M given the samples included individuals to tmax</t>
  </si>
  <si>
    <t>Averages across different reefs for estimates.</t>
  </si>
  <si>
    <t>Averages across different reefs for estimates. Length at maturity in FL assumed to equal TL as body  shape suggests that difference are small and no relationship was provided between TL and FL</t>
  </si>
  <si>
    <t>Due to the lack of immature individuals in the sample M is considered to be adult M.</t>
  </si>
  <si>
    <t>Mean over several unexploited sites, one site excluded as there was poaching. Protogynous hermaphrodite</t>
  </si>
  <si>
    <t>Protogynous hermaphrodite with maturity occurring approximately between age 4 and 9.</t>
  </si>
  <si>
    <t>Lombardi-Carlson, L. A. (2007). Life history traits of bonnethead sharks, Sphyrna tiburo, from the eastern Gulf of Mexico. NOAA Fisheries Service.</t>
  </si>
  <si>
    <t>Olsen &amp; West (2008). School and gummy shark tagging by CSIRO in southern Australia: 1947-56. CSIRO Oceans and Atmosphere - Information and Data Centre. MarLIN Record 8218. Liscense: https://creativecommons.org/licenses/by/3.0/au/</t>
  </si>
  <si>
    <t>Tmax based on times at liberty from tagging projects, age at release length was calculated from growth function and time at liberty of 33 years and 42 years for females and males respectively and was used to estimate longevity (Olsen &amp; West, 2008)</t>
  </si>
  <si>
    <t>Kelly et al., 1997</t>
  </si>
  <si>
    <t>Permitin, 1973</t>
  </si>
  <si>
    <t>The average of adult M values in Figure 2 was taken for M. Average of male and female first and 100% maturity</t>
  </si>
  <si>
    <t>Passerotti, M. S., &amp; Baremore, I. E. (2012b). Reproduction of the blacktip shark Carcharhinus limbatus in the Gulf of Mexico SEDAR29-WP-09. SEDAR, North Charleston, SC.</t>
  </si>
  <si>
    <t>McPhie, R.P. and Campana, S.E. (2009a). Bomb dating and age determination of skates (family Rajidae) off the eastern coast of Canada. ICES Journal of Marine Science, 66(3), 546-560.</t>
  </si>
  <si>
    <t>McPhie, R.P. and Campana, S.E. (2009b). Reproductive characteristics and population decline of four species of skate (Rajidae) off the eastern coast of Canada. Journal of Fish Biology, 75(1), 223-246.</t>
  </si>
  <si>
    <t>Length assumed to be total length. Maturity from females only as average between first and 100% maturity</t>
  </si>
  <si>
    <t>Colman, J.A., Stocker, M. and Pikitch, E.K. (1991). Assessment of hake (Merluccius australis) stocks for the 1991-92 fishing year. MAF Fisheries.</t>
  </si>
  <si>
    <t xml:space="preserve">Average M of adults. M at age was transformed from quarterly to yearly estimates first. </t>
  </si>
  <si>
    <t>Length assumed to be total length. Linf from weight via length-weight relationship</t>
  </si>
  <si>
    <t>TL=1.18 x FL-23.34</t>
  </si>
  <si>
    <t>Frazier et al., 2020</t>
  </si>
  <si>
    <t>M was estimated from via catch curve from length frequencies of surveys conducted in the eastern Gulf of Mexico from 1992 - 2004. No data was available for 1994 and 1998. The year 2001 was excluded because of a severe red tide bloom. Ages were obtained from length via the growth function. Ages estimated older than the reported maximum age were transformed to reported maximum age.</t>
  </si>
  <si>
    <t>Frazier, B. S., Bethea, D. M., Hueter, R. E., McCandless, C. T., Tyminski, J. P., Driggers III, W.B. (2020). Growth Rates of Bonnetheads (Sphyrna tiburo) Estimated from Tag-Recapture Data. Fishery Bulletin accepted.</t>
  </si>
  <si>
    <t>Length-weight relationship</t>
  </si>
  <si>
    <t>min Age</t>
  </si>
  <si>
    <t>max Age</t>
  </si>
  <si>
    <t>min Length</t>
  </si>
  <si>
    <t>max Length</t>
  </si>
  <si>
    <t>mean Length</t>
  </si>
  <si>
    <t>mean TL</t>
  </si>
  <si>
    <t>Weight in gram</t>
  </si>
  <si>
    <t>k</t>
  </si>
  <si>
    <t>Linf cm</t>
  </si>
  <si>
    <t>L0 cm</t>
  </si>
  <si>
    <t>a</t>
  </si>
  <si>
    <t>b</t>
  </si>
  <si>
    <t>Weight unit</t>
  </si>
  <si>
    <t>LWR Ref</t>
  </si>
  <si>
    <t>---</t>
  </si>
  <si>
    <t>g</t>
  </si>
  <si>
    <t>Coull et al., 1989</t>
  </si>
  <si>
    <t>Maturity as average of male and female first and 100% maturity</t>
  </si>
  <si>
    <t>Clupea</t>
  </si>
  <si>
    <t>pallasi</t>
  </si>
  <si>
    <t>Pacific herring</t>
  </si>
  <si>
    <t>Prince William Sound, Alaska</t>
  </si>
  <si>
    <t>acoustic survey</t>
  </si>
  <si>
    <t>Stokesbury et al., 2002</t>
  </si>
  <si>
    <t>Hay et al., 2001</t>
  </si>
  <si>
    <t>Froese &amp; Pauly, 2018</t>
  </si>
  <si>
    <t>Only the 1996 cohort was considered as the sampling interval was approximately 1 year providing M per year. Length assumed to be TL</t>
  </si>
  <si>
    <t>Gadus</t>
  </si>
  <si>
    <t>morhua</t>
  </si>
  <si>
    <t>Atlantic cod</t>
  </si>
  <si>
    <t>Stalvikbotn fjord, Malangen, northern Norway</t>
  </si>
  <si>
    <t>Larsen &amp; Pedersen, 2002</t>
  </si>
  <si>
    <t>Ajiad et al., 1999</t>
  </si>
  <si>
    <t>Length assumed to be TL</t>
  </si>
  <si>
    <t>Sømskilen, Skagerrak, Norway</t>
  </si>
  <si>
    <t>telemetry</t>
  </si>
  <si>
    <t>Olsen &amp; Moland, 2011</t>
  </si>
  <si>
    <t>Gjøsæter &amp; Danielssen, 2011</t>
  </si>
  <si>
    <t>TL = 0 + 1 x FL</t>
  </si>
  <si>
    <t>western tropical Pacific</t>
  </si>
  <si>
    <t>Jin et al., 2015</t>
  </si>
  <si>
    <t xml:space="preserve"> Sparidae</t>
  </si>
  <si>
    <t>Pagrus</t>
  </si>
  <si>
    <t>auratus</t>
  </si>
  <si>
    <t>Pagrus auratus</t>
  </si>
  <si>
    <t>snapper</t>
  </si>
  <si>
    <t>Freycinet Estuary, Shark Bay, Western Australia</t>
  </si>
  <si>
    <t>catch ratio</t>
  </si>
  <si>
    <t>Wakefield et al., 2007</t>
  </si>
  <si>
    <t>Jackson et al., 2010</t>
  </si>
  <si>
    <t>TL = 0 + 1.149 x FL</t>
  </si>
  <si>
    <t>bigeye tuna</t>
  </si>
  <si>
    <t>Hawaii</t>
  </si>
  <si>
    <t>Adam et al., 2003</t>
  </si>
  <si>
    <t>Lehodey et al., 1999</t>
  </si>
  <si>
    <t>Calkins, 1980</t>
  </si>
  <si>
    <t>kg</t>
  </si>
  <si>
    <t>Uchiyama &amp; Kazama, 2003</t>
  </si>
  <si>
    <t>Farley et al., 2003; 2017</t>
  </si>
  <si>
    <t>Campbell &amp; Dowling, 2003</t>
  </si>
  <si>
    <t>orientalis</t>
  </si>
  <si>
    <t>Pacific bluefin tuna</t>
  </si>
  <si>
    <t>Pacific</t>
  </si>
  <si>
    <t>ISC, 2016</t>
  </si>
  <si>
    <t>TL=FL/0.92</t>
  </si>
  <si>
    <t>Whitlock et al., 2016</t>
  </si>
  <si>
    <t>Shimose et al., 2009</t>
  </si>
  <si>
    <t>leucas</t>
  </si>
  <si>
    <t>bull shark</t>
  </si>
  <si>
    <t>Florida</t>
  </si>
  <si>
    <t>Heupel &amp; Simpfendorfer, 2011</t>
  </si>
  <si>
    <t>Neer et al., 2005</t>
  </si>
  <si>
    <t>Branstetter &amp; Stiles, 1987</t>
  </si>
  <si>
    <t>TL = 1.21 x FL + 13.85</t>
  </si>
  <si>
    <t>Negaprion</t>
  </si>
  <si>
    <t>brevirostris</t>
  </si>
  <si>
    <t>lemon shark</t>
  </si>
  <si>
    <t>North Sound, Bimini, Bahamas</t>
  </si>
  <si>
    <t>Gruber et al., 2001</t>
  </si>
  <si>
    <t>Brooks et al., 2016; Brown &amp; Gruber, 1988</t>
  </si>
  <si>
    <t>Brown &amp; Gruber, 1988</t>
  </si>
  <si>
    <t>PCL</t>
  </si>
  <si>
    <t>TL = 1.2527 x PCL + 0.5945</t>
  </si>
  <si>
    <t>Tavares et al., 2016</t>
  </si>
  <si>
    <t>Exclusion criteria</t>
  </si>
  <si>
    <t>Detailed comments</t>
  </si>
  <si>
    <t>Excluded reference</t>
  </si>
  <si>
    <t>Tmax absent</t>
  </si>
  <si>
    <t>No observed maximum age</t>
  </si>
  <si>
    <t>Aiken, K. A. (1983). The biology, ecology and bionomics of the triggerfishes, Balistidae. Caribbean coral reef fishery resources. Manilla: ICLARM, 191-205.</t>
  </si>
  <si>
    <t>Z was estimated and level of exploitation unknown</t>
  </si>
  <si>
    <t>Total mortality Z was estimated. Exploited stock and level of exploitation unclear and authors suggest estimates to be best considered as upper bounds</t>
  </si>
  <si>
    <t>Ashford, J., Duhamel, G., Jones, C., &amp; Bobko, S. (2005). Age, growth and mortality of Patagonian toothfish (Dissostichus eleginoides) caught off Kerguelen. CCAMLR Science, 12(1), 29-41.</t>
  </si>
  <si>
    <t>No adult M</t>
  </si>
  <si>
    <t>No adult M estimate</t>
  </si>
  <si>
    <t>Bacheler, N. M., Buckel, J. A., Hightower, J. E., Paramore, L. M., &amp; Pollock, K. H. (2009). A combined telemetry–tag return approach to estimate fishing and natural mortality rates of an estuarine fish. Canadian Journal of Fisheries and Aquatic Sciences, 66(8), 1230-1244.</t>
  </si>
  <si>
    <t>No direct M estimate</t>
  </si>
  <si>
    <t>Not included as values themselves were based on literature review from other studies</t>
  </si>
  <si>
    <t>Beverton, R. J. H., &amp; Holt, S. J. (1959, January). A review of the lifespans and mortality rates of fish in nature, and their relation to growth and other physiological characteristics. In CIBA Foundation colloquia on ageing (Vol. 5, pp. 142-180).</t>
  </si>
  <si>
    <t>Estimate unreliable</t>
  </si>
  <si>
    <r>
      <t>Not included M</t>
    </r>
    <r>
      <rPr>
        <vertAlign val="subscript"/>
        <sz val="11"/>
        <color theme="1"/>
        <rFont val="Arial"/>
        <family val="2"/>
      </rPr>
      <t>ꝏ</t>
    </r>
    <r>
      <rPr>
        <sz val="11"/>
        <color theme="1"/>
        <rFont val="Arial"/>
        <family val="2"/>
      </rPr>
      <t xml:space="preserve"> based on the assumption of being inversely proportional to body length and M from M/k from length-converted catch curve based on narrow size range and few data points and only preliminary estimates for k</t>
    </r>
  </si>
  <si>
    <t>Beyer, J. E., Kirchner, C. H., &amp; Holtzhausen, J. A. (1999). A method to determine size-specific natural mortality applied to westcoast steenbras (Lithognathus aureti) in Namibia. Fisheries Research, 41(2), 133-153.</t>
  </si>
  <si>
    <t>M assumed 0.1 without any justification given</t>
  </si>
  <si>
    <t>Brouwer, S. L., &amp; Griffiths, M. H. (2005). Influence of sample design on estimates of growth and mortality in Argyrozona argyrozona (Pisces: Sparidae). Fisheries research, 74(1-3), 44-54.</t>
  </si>
  <si>
    <t>Z was estimated. Exploited stock and level of exploitation unclear</t>
  </si>
  <si>
    <t>Brown, I. W., &amp; Sumpton, W. D. (1998). Age, growth and mortality of redthroat emperor Lethrinus miniatus (Pisces: Lethrinidae) from the southern Great Barrier Reef, Queensland, Australia. Bulletin of Marine Science, 62(3), 905-917.</t>
  </si>
  <si>
    <t>Updated M estimate</t>
  </si>
  <si>
    <t>New M estimates used from updated data</t>
  </si>
  <si>
    <t>Cortés, E., &amp; Parsons, G. R. (1996). Comparative demography of two populations of the bonnethead shark (Sphyrna tiburo). Canadian Journal of Fisheries and Aquatic Sciences, 53(4), 709-718.</t>
  </si>
  <si>
    <t>M not directly estimated but from a combination of maximum age and M&lt;Z. Z was estimated.</t>
  </si>
  <si>
    <t>Coulson, P. G., Hesp, S. A., Hall, N. G., &amp; Potter, I. C. (2009). The western blue groper (Achoerodus gouldii), a protogynous hermaphroditic labrid with exceptional longevity, late maturity, slow growth, and both late maturation and sex change. Fishery Bulletin, 107(1), 57-75.</t>
  </si>
  <si>
    <t>Authors suggest that M may have been overestimated and method is assuming tag reporting rate and initial tagging survival</t>
  </si>
  <si>
    <t>den Heyer, C. E., Schwarz, C. J., &amp; Trzcinski, M. K. (2013). Fishing and natural mortality rates of Atlantic halibut estimated from multiyear tagging and life history. Transactions of the American Fisheries Society, 142(3), 690-702.</t>
  </si>
  <si>
    <t>Method does not consider tagging mortality, loss, emigration or immigration. Authors suggest estimates liable to serious error.</t>
  </si>
  <si>
    <t>Dickie, L. M., &amp; McCracken, F. D. (1955). Isopleth diagrams to predict equilibrium yields of a small flounder fishery. Journal of the Fisheries Board of Canada, 12(2), 187-209.</t>
  </si>
  <si>
    <t>M from empirical relationship</t>
  </si>
  <si>
    <t>Dulčić, J., and M. Kraljević. 1995. Age, growth and mortality of damselfish (Chromis chromis L.) in the eastern middle Adriatic. Fisheries Research 22:255-264.</t>
  </si>
  <si>
    <t>Dulčić, J., Kraljević, M., Grbec, B., &amp; Cetinić, P. (2000). Age, growth and mortality of blotched picarel Spicara maena L.(Pisces: Centracanthidae) in the eastern central Adriatic. Fisheries Research, 48(1), 69-78.</t>
  </si>
  <si>
    <t>M from empirical relationship. Authors suggest taking mortality estimates with caution; lack of information on fishing effects.</t>
  </si>
  <si>
    <t>Dulčić, J., Pallaoro, A., Cetinić, P., Kraljević, M., Soldo, A., &amp; Jardas, I. (2003). Age, growth and mortality of picarel, Spicara smaris L.(Pisces: Centracanthidae), from the eastern Adriatic (Croatian coast). Journal of Applied Ichthyology, 19(1), 10-14.</t>
  </si>
  <si>
    <t>Z was estimated and level of exploitation unclear. Also stated preliminary by authors</t>
  </si>
  <si>
    <t>Ferrira, B. P., &amp; Russ, G. R. (1992). Age, growth and mortality of the Inshore Coarl Trout Plectropomus maculatus (Pisces: Serranidae) from the Central Great Barrier Reef, Australia. Marine and Freshwater Research, 43(5), 1301-1312.</t>
  </si>
  <si>
    <t>Mortality estimated for two different species combined</t>
  </si>
  <si>
    <t>Fonds, M. (1973). Sand gobies in the Dutch Wadden Sea (pomatoschistus, gobiidae, pisces). Netherlands Journal of Sea Research, 6(4), 417-478.</t>
  </si>
  <si>
    <t>Gjøsaeter, 1981a was used instead as they used the full age range 1-8</t>
  </si>
  <si>
    <t>Gjösæter, J. (1973). Age, growth, and mortality of the mygtophid fish, Benthosema glaciale (Reinhardt), from Western Norway. Sarsia, 52(1), 1-14.</t>
  </si>
  <si>
    <t>Z was estimated from exploited stock</t>
  </si>
  <si>
    <t>Author states that mortality estimate includes both mortalities</t>
  </si>
  <si>
    <t>Gjøsaeter, 1981b (Gjøsæter, J. (1981). Life history and ecology of the myctophid fish Notoscopelus elongatus kroeyeri from the Northeast Atlantic.)</t>
  </si>
  <si>
    <t>No direct M estimate. Z estimated.</t>
  </si>
  <si>
    <t>M from empirical relationship. Data analyzed and collected from an exploited stock; Z estimated.</t>
  </si>
  <si>
    <t>Gonçalves, J. M. S., Bentes, L., Coelho, R., Correia, C., Lino, P. G., Monteiro, C. C., ... &amp; Erzini, K. (2003). Age and growth, maturity, mortality and yield-per-recruit for two banded bream (Diplodus vulgaris Geoffr.) from the south coast of Portugal. Fisheries research, 62(3), 349-359.</t>
  </si>
  <si>
    <t>Grandcourt, E., Al Abdessalaam, T. Z., Francis, F., &amp; Al Shamsi, A. (2010). Age‐based life history parameters and status assessments of by‐catch species (Lethrinus borbonicus, Lethrinus microdon, Pomacanthus maculosus and Scolopsis taeniatus) in the southern Arabian Gulf. Journal of Applied Ichthyology, 26(3), 381-389.</t>
  </si>
  <si>
    <t>Grant, C. J., Sandland, R. L., &amp; Olsen, A. M. (1979). Estimation of growth, mortality and yeild per recruit of the Australian school shark, Galeorhinus australis (Macleay), from tag recoveries. Marine and Freshwater Research, 30(5), 625-637.</t>
  </si>
  <si>
    <t>Z was estimated from exploited stock; Considered uncertain in study</t>
  </si>
  <si>
    <t>M not directly estimated but assumed to be 0.1. Z was estimated from exploited stocks and authors suggest to use different methods/areas in the future to estimate M.</t>
  </si>
  <si>
    <t>Hamilton, S. L., Wilson, J. R., Ben-Horin, T., &amp; Caselle, J. E. (2011). Utilizing spatial demographic and life history variation to optimize sustainable yield of a temperate sex-changing fish. PloS one, 6(9), e24580.</t>
  </si>
  <si>
    <t>M uncertain due to several guessed assumptions in method such as tag reporting rate.</t>
  </si>
  <si>
    <t>Hampton, J. W. (1991). Estimation of southern blue-fin tuna Thunnus maccoyii natural mortality and movement rates from tagging experiments.</t>
  </si>
  <si>
    <t>Updated values used from stock assessments with higher sample size of mark-recapture data</t>
  </si>
  <si>
    <t>Hampton, J. (2000). Natural mortality rates in tropical tunas: size really does matter. Canadian Journal of Fisheries and Aquatic Sciences, 57(5), 1002-1010.</t>
  </si>
  <si>
    <t>Hanan, D. (1981). Update of the estimated mortality rate of Engraulis mordax in southern California. California fish and game.</t>
  </si>
  <si>
    <t>Z was estimated and level of exploitation unknown; considered uncertain in study</t>
  </si>
  <si>
    <t>Z was estimated and authors state that not all mortality is due to natural causes.</t>
  </si>
  <si>
    <t>Harris, M. J., &amp; Grossman, G. D. (1985). Growth, mortality, and age composition of a lightly exploited tilefish substock off Georgia. Transactions of the American Fisheries Society, 114(6), 837-846.</t>
  </si>
  <si>
    <t>Considered unreliable by the authors in the original study</t>
  </si>
  <si>
    <t>M considered uncertain by author due to data limitations and violations of some assumptions</t>
  </si>
  <si>
    <t>Hughes, S. E. (1974). Stock composition, growth, mortality, and availability of Pacific saury, Cololais saira, of the Northeastern Pacific Ocean. Fish. Bull., 72, 121-131.</t>
  </si>
  <si>
    <t>Z was estimated. Exploited stock and level of exploitation unclear.</t>
  </si>
  <si>
    <t>Johnson, A. G., Fable Jr, W. A., Williams, M. L., &amp; Barger, L. E. (1983). Age, growth, and mortality of king mackerel, Scomberomorus cavalla, from the southeastern United States. Fishery Bulletin, 81(1), 97-106.</t>
  </si>
  <si>
    <t>Tag reporting rate and emigration assumed</t>
  </si>
  <si>
    <t>Jones, 1966</t>
  </si>
  <si>
    <t>M uncertain due to visual census method</t>
  </si>
  <si>
    <t>Jones, G. P. (1980). Growth and reproduction in the protogynous hermaphrodite Pseudolabrus celidotus (Pisces: Labridae) in New Zealand. Copeia, 660-675.</t>
  </si>
  <si>
    <t>M as Z from exploited stock and authors tentatively conclude that the value of M for females is somewhere in the vicinity of 0.20 and the value for males is somewhat higher</t>
  </si>
  <si>
    <t>Ketchen, K. S., &amp; Forrester, C. R. (1966). Population dynamics of the petrale sole, Eopsetta jordani, in waters off western Canada (No. 153). Fisheries Research Board of Canada.</t>
  </si>
  <si>
    <t>Outlying compared to all other direct M estiamtes</t>
  </si>
  <si>
    <t>M estimates in this study were extremely different from all other direct M estimates</t>
  </si>
  <si>
    <t>Knip, D. M., Heupel, M. R., &amp; Simpfendorfer, C. A. (2012). Mortality rates for two shark species occupying a shared coastal environment. Fisheries Research, 125, 184-189.</t>
  </si>
  <si>
    <t>Koutrakis, E. T., Kamidis, N. I., &amp; Leonardos, I. D. (2004). Age, growth and mortality of a semi‐isolated lagoon population of sand smelt, Atherina boyeri (Risso, 1810)(Pisces: Atherinidae) in an estuarine system of northern Greece. Journal of Applied Ichthyology, 20(5), 382-388.</t>
  </si>
  <si>
    <t>Z was estimated. Exploited stock and level of exploitation unclear. No natural mortality estimate, only Z as total mortality.</t>
  </si>
  <si>
    <t>Laursen, T., Russ, G. R., Newman, S. J., &amp; Higgs, J. B. (1999). Age, Growth and Mortality of Gymnocranius audleyi (Pisces: Lethrinidae). Asian Fisheries Science, 12(2), 187-200.</t>
  </si>
  <si>
    <t>Author considers estimate preliminary and influenced by emigration and immigration</t>
  </si>
  <si>
    <t>Linkowski, T. B. (1985). Population biology of the myctophid fish Gymnoscopelus nicholsi (Gillbert, 1911) from the western South Atlantic. Journal of fish biology, 27(6), 683-698.</t>
  </si>
  <si>
    <t>M uncertain due to visual census method and by-eye estimated sizes from which ages where derived</t>
  </si>
  <si>
    <t>Macpherson, E., García-Rubies, A., &amp; Gordoa, A. (2000). Direct estimation of natural mortality rates for littoral marine fishes using populational data from a marine reserve. Marine Biology, 137(5-6), 1067-1076.</t>
  </si>
  <si>
    <t>Z was estimated and although fishing mortality was not believed to be a major contributor the amount of fishing, mortality was uncertain</t>
  </si>
  <si>
    <t>Manooch III, C. S., &amp; Huntsman, G. R. (1977). Age, growth, and mortality of the red porgy, Pagrus pagrus. Transactions of the American Fisheries society, 106(1), 26-33.</t>
  </si>
  <si>
    <t>Manooch III, C. S., &amp; Potts, J. C. (1997). Age, growth and mortality of greater amberjack from the southeastern United States. Fisheries Research, 30(3), 229-240.</t>
  </si>
  <si>
    <t>Mant, J. C., Moran, M. J., Newman, S. J., Hesp, S. A., Hall, N. G., &amp; Potter, I. C. (2006). Biological characteristics and mortality of western butterfish (Pentapodus vitta), an abundant bycatch species of prawn trawling and recreational fishing in a large subtropical embayment. Fishery Bulletin, 104(4), 512-520.</t>
  </si>
  <si>
    <t>Moran et al., 1993 was used instead because estimates were from the same location. Marriott et al., 2011 used the same data to estimate M as Moran et al., 1993 but for very different localities and times.</t>
  </si>
  <si>
    <t>M uncertain. Regression fitted by eye</t>
  </si>
  <si>
    <t>Mathews, C. P. (1975). Some observations on the ecology and the population dynamics of Merluccius angustimanus in the South Gulf of California. Journal of Fish Biology 7:83-94.</t>
  </si>
  <si>
    <t>M derived from Z and suggested as upper bound of M</t>
  </si>
  <si>
    <t>Muller, R. 2009. Catch curves from two periods in the black grouper fishery. SEDAR19-AW-06. SEDAR, North Charleston, SC. Available at: http://www.sefsc.noaa.gov/sedar/download/SEDAR19_AW_06_BG_catch_curves.pdf?id=DOCUMENT</t>
  </si>
  <si>
    <t>Murua, H. (2003). Population structure, growth and reproduction of roughhead grenadier on the Flemish Cap and Flemish Pass. Journal of Fish Biology, 63(2), 356-373.</t>
  </si>
  <si>
    <t>Adult mortality was estimated as total mortality. Stocks have been exploited and are considered depressed by the author.</t>
  </si>
  <si>
    <t>Nelson, B. D., &amp; Quinn, T. J. (1986). Population parameters of the rougheye rockfish (Sebastes aleutianus) (Master's thesis, University of Alaska, Juneau).</t>
  </si>
  <si>
    <t>Total survival was estimated. Exploitation unclear, authors only state that it is of little commercial value along the Croatian Adriatic coast and annual catch hardly exceeds 10 t</t>
  </si>
  <si>
    <t>Pallaoro, A., &amp; Jardas, I. (2003). Some biological parameters of the peacock wrasse, Symphodus (Crenilabrus) tinca (L. 1758)(Pisces: Labridae) from the middle eastern Adriatic (Croatian coast). Scientia Marina, 67(1), 33-41.</t>
  </si>
  <si>
    <t>Z was estimated but stock has been exploited.</t>
  </si>
  <si>
    <t>Paul, L. J., Francis, M. P., &amp; Horn, P. L. (2000). Development of an ageing methodology, and first estimates of growth parameters and natural mortality for rubyfish (Plagiogeneion rubiginosum) off the east coast of the North Island (QMA 2). Ministry of Fisheries.</t>
  </si>
  <si>
    <t>No observed ages but calculated from von Bertalanffy and tmax absent. Also authors consider M estimate to be possibly biased upward</t>
  </si>
  <si>
    <t>Pauly, D., &amp; Martosubroto, P. (1980). The population dynamics of Nemipterus marginatus (Cuvier &amp; Val.) off Western Kalimantan, South China Sea. Journal of Fish Biology, 17(3), 263-273.</t>
  </si>
  <si>
    <t>Pember, M. B., Newman, S. J., Hesp, S. A., Young, G. C., Skepper, C. L., Hall, N. G., &amp; Potter, I. C. (2005). Biological parameters for managing the fisheries for blue and king threadfin salmons, estuary rockcod, Malabar grouper and mangrove jack in north-western Australia.</t>
  </si>
  <si>
    <t>Unclear if populations from exploited stocks and the unexploited stock are separate populations due to larval and egg dispersal. Z from unexploited stock higher than one of the exploited stocks (i.e., contradictory)</t>
  </si>
  <si>
    <t>Platten, J. R., Tibbetts, I. R., &amp; Sheaves, M. J. (2002). The influence of increased line‐fishing mortality on the sex ratio and age of sex reversal of the venus tusk fish. Journal of Fish Biology, 60(2), 301-318.</t>
  </si>
  <si>
    <t>Z from exploited stock</t>
  </si>
  <si>
    <t>Reay, P. J. (1973). Some aspects of the biology of the sandeel, Ammodytes tobianus L., in Langstone Harbour, Hampshire. Journal of the Marine Biological Association of the United Kingdom, 53(2), 325-346.</t>
  </si>
  <si>
    <t>Rezende, S. D. M., &amp; Ferreira, B. P. (2004). Age, growth and mortality of dog snapper Lutjanus jocu (Bloch &amp; Schneider, 1801) in the northeast coast of Brazil. Brazilian Journal of Oceanography, 52(2), 107-121.</t>
  </si>
  <si>
    <t>Rocha-Olivares, A. (1998). Age, growth, mortality, and population characteristics of the Pacific red snapper, Lutjanus peru. Fishery Bulletin, 96, 562-574.</t>
  </si>
  <si>
    <t>Rodgveller, C. J., Clausen, D. M., Nagler, J. J., &amp; Hutchinson, C. (2010). Reproductive characteristics and mortality of female giant grenadiers in the northern Pacific Ocean. Marine and Coastal Fisheries, 2(1), 73-82.</t>
  </si>
  <si>
    <t>Ross, J. L., &amp; Huntsman, G. R. (1982). Age, growth, and mortality of blueline tilefish from North Carolina and South Carolina. Transactions of the American Fisheries Society, 111(5), 585-592.</t>
  </si>
  <si>
    <t>Total mortality Z was estimated from potentially only light fished stocks but authors discuss that M is not likely equal to Z</t>
  </si>
  <si>
    <t>Rudershausen, P. J., Williams, E. H., Buckel, J. A., Potts, J. C., &amp; Manooch III, C. S. (2008). Comparison of Reef Fish Catch per Unit Effort and Total Mortality between the 1970s and 2005‐2006 in Onslow Bay, North Carolina. Transactions of the American Fisheries Society, 137(5), 1389-1405.</t>
  </si>
  <si>
    <t>Z was estimated but stock was exploited in the past with catches exceeding 100 metric tons</t>
  </si>
  <si>
    <t>Shaw, F. R., and D. R. Gunderson. 2006. Life history traits of the greenstriped rockfish, Sebastes elongatus. California Fish and Game 92:1-23.</t>
  </si>
  <si>
    <t>Method is not considering emigration, tag loss, reporting rate or tagging mortality</t>
  </si>
  <si>
    <t>Stanley, C. A. (1978). Area of distribution, movements, age composition and mortality rates of the Australian salmon population in Tasmania, Victoria and New South Wales. Marine and Freshwater Research, 29(4), 417-433.</t>
  </si>
  <si>
    <t>M from empirical relationship and estimated total mortality rates were obtained from a mix of exploited and unexploited sample sites</t>
  </si>
  <si>
    <t>Stergiou, K. I., Economidis, P., &amp; Sinis, A. (1992). Age, growth and mortality of red bandfish, Cepola macrophthalma (L.), in the western Aegean Sea (Greece). Journal of fish biology, 40(3), 395-418.</t>
  </si>
  <si>
    <t>Z was estimated but rate of fishing mortality unclear, in particular due to bycatch</t>
  </si>
  <si>
    <t>Stevens, D., Smith, M. H., Grimes, P., Devine, J., Sutton, C., MacGibbon, D., &amp; Maolagáin, C. Ó. (2010). Age, growth, and maturity of four New Zealand rattail species. NZ Aquat. Environ. Biodiv. Rept, (59), 39.</t>
  </si>
  <si>
    <t>Z was estimated and authors state that the assumption of no fishing mortality is weak because sport fishing has occurred for many years</t>
  </si>
  <si>
    <t>Stewart, E. M. (1993). Status of black rockfish off the Northern Oregon coast in 1993. Appendices to the Status of the Pacific Coast Groundfish Fishery Through.</t>
  </si>
  <si>
    <t>Natural mortality and emigration rate combined</t>
  </si>
  <si>
    <t>Svedäng, H. (1999). Vital population statistics of the exploited eel stock on the Swedish west coast. Fisheries Research, 40(3), 251-265.</t>
  </si>
  <si>
    <t>M includes shedding rate of tags and migration rate</t>
  </si>
  <si>
    <t>Tanaka, E. (2006). Simultaneous estimation of instantaneous mortality coefficients and rate of effective survivors to number of released fish using multiple sets of tagging experiments. Fisheries Science, 72(4), 710-718.</t>
  </si>
  <si>
    <t>Thompson, R., &amp; Munro, J. L. (1978). Aspects of the biology and ecology of Caribbean reef fishes: Serranidae (hinds and groupers). Journal of Fish Biology, 12(2), 115-146.</t>
  </si>
  <si>
    <t>Z from exploited stock with time periods of heavy fishing</t>
  </si>
  <si>
    <t>Van Cleve, R. I. C. H. A. R. D., &amp; El-Sayed, S. Z. (1969). Age, growth, and productivity of an English sole (Parophrys vetulus) population in Puget Sound, Washington. Pac. Mar. Fish. Comm. Bull, 7, 51-71.</t>
  </si>
  <si>
    <t>Wakefield, C. B., Newman, S. J., &amp; Molony, B. W. (2010). Age-based demography and reproduction of hapuku, Polyprion oxygeneios, from the south coast of Western Australia: implications for management. ICES Journal of Marine Science, 67(6), 1164-1174.</t>
  </si>
  <si>
    <t>Williams, A. J., Currey, L. M., Begg, G. A., Murchie, C. D., &amp; Ballagh, A. C. (2008). Population biology of coral trout species in eastern Torres Strait: Implications for fishery management. Continental Shelf Research, 28(16), 2129-2142.</t>
  </si>
  <si>
    <t>Z was estimated and level of exploitation is unclear</t>
  </si>
  <si>
    <t>Wilson, C. D., &amp; Boehlert, G. W. (1990). The effects of different otolith ageing techniques on estimates of growth and mortality for the splitnose rockfish, Sebastes diploproa, and canary rockfish, S. pinniger. California Fish and Game, 76(3), 146-160.</t>
  </si>
  <si>
    <t>M highly variable and considered uncertain. Significant decrease over time from &gt;1.1 to &lt;0.4</t>
  </si>
  <si>
    <t>Winters, G. H. (1983). Analysis of the biological and demographic parameters of northern sand lance, Ammodytes dubius, from the Newfoundland Grand Bank. Canadian Journal of Fisheries and Aquatic Sciences, 40(4), 409-419.</t>
  </si>
  <si>
    <t>Z was estimated but levels of exploitation unclear</t>
  </si>
  <si>
    <t>Young, J. W., Bulman, C. M., Blaber, S. J. M., &amp; Wayte, S. E. (1988). Age and growth of the lanternfish Lampanyctodes hectoris (Myctophidae) from eastern Tasmania, Australia. Marine Biology, 99(4), 569-576.</t>
  </si>
  <si>
    <t>Z estimated but amount and effect of sport-fishing unclear</t>
  </si>
  <si>
    <t>Young, P. H. (1963). The Kelp Brass (Paralabrax Clathratus) and Its Fishery, 1947-1958. Department of Fish and Game, the Resources Agency, State of California.</t>
  </si>
  <si>
    <t xml:space="preserve">Authors give mortality in % but also refer to Hoenig's instantaneous rates as % and it is unclear if M (measured over 9 days) is an instantaneous or finite rate </t>
  </si>
  <si>
    <t>Depczynski, M., &amp; Bellwood, D. R. (2005). Shortest recorded vertebrate lifespan found in a coral reef fish. Current Biology, 15(8), R288-R289.</t>
  </si>
  <si>
    <t>Supplement to Dureuil et al. (2021)</t>
  </si>
  <si>
    <t>https://doi.org/10.3354/meps13704</t>
  </si>
  <si>
    <t>Adam, M. S., Sibert, J., Itano, D., &amp; Holland, K. (2003). Dynamics of bigeye (Thunnus obesus) and yellowfin (T. albacares) tuna in Hawaii’s pelagic fisheries: analysis of tagging data with a bulk transfer model incorporating size-specific attrition. Fishery Bulletin, 101(2), 215-228.</t>
  </si>
  <si>
    <t>Ajiad, A., Jakobsen, T., &amp; Nakken, O. (1999). Sexual difference in maturation of Northeast Arctic cod. Journal of Northwest Atlantic Fishery Science, 25, 1-16.</t>
  </si>
  <si>
    <t>Ashida, H., Tanabe, T., &amp; Suzuki, N. (2007). Maturation and spawning activity of skipjack tuna Katsuwonus pelamis in the western central Pacific Ocean as determined by ovarian histological observation. Nippon Suisan Gakkaishi 73(3), 437-442.</t>
  </si>
  <si>
    <t>Ashida, H., Tanabe, T., Satoh, K., Fukui, A., Tanaka, S., &amp; Suzuki, N. (2010). Reproductive biology of male skipjack tuna Katsuwonus pelamis (Linnaeus) in the tropical western and central Pacific Ocean. Fisheries Science, 76(5), 785-793.</t>
  </si>
  <si>
    <t>Branstetter, S., &amp; Stiles, R. (1987). Age and growth estimates of the bull shark, Carcharhinus leucas, from the northern Gulf of Mexico. Environmental Biology of Fishes, 20(3), 169-181.</t>
  </si>
  <si>
    <t>Brooks, J. L., Guttridge, T. L., Franks, B. R., Grubbs, R. D., Chapman, D. D., Gruber, S. H., ... &amp; Feldheim, K. A. (2016). Using genetic inference to re‐evaluate the minimum longevity of the lemon shark Negaprion brevirostris. Journal of fish biology, 88(5), 2067-2074.</t>
  </si>
  <si>
    <t>Brown, C. A., &amp; Gruber, S. H. (1988). Age assessment of the lemon shark, Negaprion brevirostris, using tetracycline validated vertebral centra. Copeia, 747-753.</t>
  </si>
  <si>
    <t>Campbell, R. A., &amp; Dowling, N. A. (2003). Development of an operating model and evaluation of harvest strategies for the Eastern Tuna and Billfish Fishery. CSIRO Marine Research. Final report for Project 1999/107, Fisheries Research and Development Corporation, Canberra.</t>
  </si>
  <si>
    <t>Farley, J., Clear, N., Leroy, B., Davis, T., &amp; McPherson, G. (2003). Age and growth of bigeye tuna (Thunnus obesus) from the eastern and western AFZ (No. 2000/100). Report.</t>
  </si>
  <si>
    <t>Farley, J., Eveson, P., Krusic-Golub, K., Sanchez, C., Roupsard, F., McKechnie, S., ... &amp; Chang, S. K. (2017). Project 35: Age, growth and maturity of bigeye tuna in the western and central Pacific Ocean. WCPFCSC13-2017/SA-WP-01 Rev 1 (28 March 2018).</t>
  </si>
  <si>
    <t>Froese, R., &amp; Pauly, D. (2018). Editors. 2018. FishBase. World Wide Web electronic publication. Available at: http://www/fishbase.org (version 06/2018).</t>
  </si>
  <si>
    <t>Gislason, H., Daan, N., Rice, J., &amp; Pope, J. (2008). Does natural mortality depend on individual size. ICES CM 2008/F:16.</t>
  </si>
  <si>
    <t>Gjøsæter, J., &amp; Danielssen, D. S. (2011). Age, growth and otolith annulus formation of cod (Gadus morhua) in the Risør area on the Norwegian Skagerrak coast during 1986–1996. Marine Biology Research, 7(3), 281-288.</t>
  </si>
  <si>
    <t>Gruber, S. H., De Marignac, J. R., &amp; Hoenig, J. M. (2001). Survival of juvenile lemon sharks at Bimini, Bahamas, estimated by mark–depletion experiments. Transactions of the American Fisheries Society, 130(3), 376-384.</t>
  </si>
  <si>
    <t>Harley, S., Davies, N., Hampton, J., &amp; McKechnie, S. (2014). Stock assessment of yellowfin tuna in the western and central Pacific Ocean. Scientific Committee 10th Regular Session, 6-14. WCPFC‐SC10‐2014/SA‐WP‐01 Rev1 25 July.</t>
  </si>
  <si>
    <t>Hay, D. E., Toresen, R., Stephenson, R., Thompson, M., Claytor, R., Funk, F., ... &amp; Melvin, G. (2001). Taking stock: an inventory and review of world herring stocks in 2000. Herring: Expectations for a new millennium, 381-454.</t>
  </si>
  <si>
    <t>Heupel, M. R., &amp; Simpfendorfer, C. A. (2011). Estuarine nursery areas provide a low-mortality environment for young bull sharks Carcharhinus leucas. Marine Ecology Progress Series, 433, 237-244.</t>
  </si>
  <si>
    <t>ISC. (2016). 2016 Pacific Bluefin Tuna Stock Assessment. Scientific Committee Twelfth Regular Session. WCPFC-SC12-2016/ SAWP-07.</t>
  </si>
  <si>
    <t>Jackson, G., Norriss, J. V., Mackie, M. C., &amp; Hall, N. G. (2010). Spatial variation in life history characteristics of snapper (Pagrus auratus) within Shark Bay, Western Australia. New Zealand Journal of Marine and Freshwater Research, 44(1), 1-15.</t>
  </si>
  <si>
    <t>Jin S, Yan X, Zhang H, Fan W. (2015) Weight–length relationships and Fulton’s condition factors of skipjack tuna (Katsuwonus pelamis) in the western and central Pacific Ocean. PeerJ 3:e758 https://doi.org/10.7717/peerj.758</t>
  </si>
  <si>
    <t>Larsen, L. H., &amp; Pedersen, T. (2002). Migration, growth and mortality of released reared and wild cod (Gadus morhua L.) in Malangen, northern Norway. Sarsia: North Atlantic Marine Science, 87(2), 97-109.</t>
  </si>
  <si>
    <t>Lehodey, P., Hampton, J., &amp; Leroy, B. (1999). Preliminary results on age and growth of bigeye tuna (Thunnus obesus) from the western and central Pacific Ocean as indicated by daily growth increments and tagging data. In Sec. Pacif. Comm., Oceanic Fish. Prog., 12th meeting, Stand. Comm. Tuna Billfish, BET-2.</t>
  </si>
  <si>
    <t>McKechnie, S., Hampton, J., Pilling, G. M., &amp; Davies, N. (2016). Stock assessment of skipjack tuna in the western and central Pacific Ocean. Scientific Committee twelfth Regular Session Bali, Indonesia, 3-11. WCPFC-SC12-2016/SA-WP-04.</t>
  </si>
  <si>
    <t>Neer, J. A., Thompson, B. A., &amp; Carlson, J. K. (2005). Age and growth of Carcharhinus leucas in the northern Gulf of Mexico: incorporating variability in size at birth. Journal of Fish Biology, 67(2), 370-383.</t>
  </si>
  <si>
    <t>Olsen, E. M., &amp; Moland, E. (2011). Fitness landscape of Atlantic cod shaped by harvest selection and natural selection. Evolutionary Ecology, 25(3), 695-710.</t>
  </si>
  <si>
    <t>Rao, K. V. (1966). Age and growth of 'Ghol', Pseudosciaena diacanthus (Lacepede) in Bombay and Saurashtra waters. Indian Journal of Fisheries, 13(1&amp;2), 251-292.</t>
  </si>
  <si>
    <t>Rao, K. V. (1968). Estimates of mortality and yield per recruit of 'ghol' Pseudosciaena diacanthus (Lacepede). Indian Journal of Fisheries, 15(1&amp;2), 88-98.</t>
  </si>
  <si>
    <t>Rao, P. V. (1963). Some aspects of the biology of 'Ghol’ Pseudoseiaena diacanthus (Lecepede). Indian Journal of Fisheries, 10(2), 413-459.</t>
  </si>
  <si>
    <t>Shimose, T., Tanabe, T., Chen, K. S., &amp; Hsu, C. C. (2009). Age determination and growth of Pacific bluefin tuna, Thunnus orientalis, off Japan and Taiwan. Fisheries Research, 100(2), 134-139.</t>
  </si>
  <si>
    <t>Stokesbury, K. D., Kirsch, J., Patrick, E. V., &amp; Norcross, B. L. (2002). Natural mortality estimates of juvenile Pacific herring (Clupea pallasi) in Prince William Sound, Alaska. Canadian Journal of Fisheries and Aquatic Sciences, 59(3), 416-423.</t>
  </si>
  <si>
    <t>Tanabe, T., Kayama, S., &amp; Ogura, M. (2003). An outline of the growth study on skipjack tuna (Katsuwonus pelamis) in the Western Pacific. In IOTC Proceedings (Vol. 6, pp. 156-164).</t>
  </si>
  <si>
    <t>Tavares, R., Rodriguez, J. P., &amp; Morales, M. (2016). Nursery area and size structure of the lemon shark population, Negaprion brevirostris (Poey, 1868), in Los Roques Archipelago National Park, Venezuela. Universitas Scientiarum, 21(1), 33-52.</t>
  </si>
  <si>
    <t>Uchiyama, J. H., &amp; Kazama, T. K. (2003). Updated weight-on-length relationships for pelagic fishes caught in the central North Pacific Ocean and bottomfishes from the northwestern Hawaiian Islands. NOAA Fisheries Pacific Islands Fisheries Science Center Honolulu, Hawaii. Administrative Report H-03-01.</t>
  </si>
  <si>
    <t>Wakefield, C. B., Moran, M. J., Tapp, N. E., &amp; Jackson, G. (2007). Catchability and selectivity of juvenile snapper (Pagrus auratus, Sparidae) and western butterfish (Pentapodus vitta, Nemipteridae) from prawn trawling in a large marine embayment in Western Australia. Fisheries Research, 85(1-2), 37-48.</t>
  </si>
  <si>
    <t>Whitlock, R. E., McAllister, M. K., &amp; Block, B. A. (2016). Corrigendum to “Estimating fishing and natural mortality rates for Pacific bluefin tuna (Thunnus orientalis) using electronic tagging data”[Fish. Res. 119–120C (2012) 115–127]. Fisheries Research, (181), 248-253.</t>
  </si>
  <si>
    <t>Table S1. Mortality database for adult elasmobranchs and teleosts</t>
  </si>
  <si>
    <t>Table S2. Mortality database for juvenile elasmobranchs and teleosts</t>
  </si>
  <si>
    <t>Table S3. Excluded references</t>
  </si>
  <si>
    <t>Mar Ecol Prog Ser 667:113-129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</si>
</sst>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000"/>
  </numFmts>
  <fonts count="12" x14ac:knownFonts="1">
    <font>
      <sz val="11"/>
      <color theme="1"/>
      <name val="Calibri"/>
      <family val="2"/>
      <scheme val="minor"/>
    </font>
    <font>
      <sz val="11"/>
      <name val="Calibri"/>
      <family val="2"/>
      <scheme val="minor"/>
    </font>
    <font>
      <b/>
      <sz val="11"/>
      <name val="Calibri"/>
      <family val="2"/>
      <scheme val="minor"/>
    </font>
    <font>
      <sz val="11"/>
      <color theme="1"/>
      <name val="Calibri"/>
      <family val="2"/>
      <scheme val="minor"/>
    </font>
    <font>
      <b/>
      <sz val="11"/>
      <color theme="1"/>
      <name val="Calibri"/>
      <family val="2"/>
      <scheme val="minor"/>
    </font>
    <font>
      <b/>
      <sz val="11"/>
      <color theme="1"/>
      <name val="Arial"/>
      <family val="2"/>
    </font>
    <font>
      <sz val="11"/>
      <color theme="1"/>
      <name val="Arial"/>
      <family val="2"/>
    </font>
    <font>
      <vertAlign val="subscript"/>
      <sz val="11"/>
      <color theme="1"/>
      <name val="Arial"/>
      <family val="2"/>
    </font>
    <font>
      <b/>
      <sz val="17"/>
      <color theme="1"/>
      <name val="Calibri"/>
    </font>
    <font>
      <sz val="14"/>
      <color theme="1"/>
      <name val="Calibri"/>
    </font>
    <font>
      <u/>
      <sz val="11"/>
      <color theme="10"/>
      <name val="Calibri"/>
      <family val="2"/>
      <scheme val="minor"/>
    </font>
    <font>
      <i/>
      <u/>
      <sz val="12"/>
      <color theme="10"/>
      <name val="Calibri"/>
    </font>
  </fonts>
  <fills count="3">
    <fill>
      <patternFill patternType="none"/>
    </fill>
    <fill>
      <patternFill patternType="gray125"/>
    </fill>
    <fill>
      <patternFill patternType="solid">
        <fgColor theme="5" tint="0.79998168889431442"/>
        <bgColor indexed="65"/>
      </patternFill>
    </fill>
  </fills>
  <borders count="23">
    <border>
      <left/>
      <right/>
      <top/>
      <bottom/>
      <diagonal/>
    </border>
    <border>
      <left/>
      <right style="thin">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bottom/>
      <diagonal/>
    </border>
  </borders>
  <cellStyleXfs count="3">
    <xf numFmtId="0" fontId="0" fillId="0" borderId="0"/>
    <xf numFmtId="0" fontId="3" fillId="2" borderId="0" applyNumberFormat="0" applyBorder="0" applyAlignment="0" applyProtection="0"/>
    <xf numFmtId="0" fontId="10" fillId="0" borderId="0" applyNumberFormat="0" applyFill="0" applyBorder="0" applyAlignment="0" applyProtection="0"/>
  </cellStyleXfs>
  <cellXfs count="70">
    <xf numFmtId="0" fontId="0" fillId="0" borderId="0" xfId="0"/>
    <xf numFmtId="0" fontId="1" fillId="0" borderId="10" xfId="0" applyFont="1" applyFill="1" applyBorder="1"/>
    <xf numFmtId="0" fontId="1" fillId="0" borderId="6" xfId="0" applyFont="1" applyFill="1" applyBorder="1"/>
    <xf numFmtId="0" fontId="1" fillId="0" borderId="1" xfId="0" applyFont="1" applyFill="1" applyBorder="1"/>
    <xf numFmtId="0" fontId="1" fillId="0" borderId="0" xfId="0" applyFont="1" applyFill="1"/>
    <xf numFmtId="49" fontId="1" fillId="0" borderId="1" xfId="0" applyNumberFormat="1" applyFont="1" applyFill="1" applyBorder="1"/>
    <xf numFmtId="0" fontId="1" fillId="0" borderId="14" xfId="0" applyFont="1" applyFill="1" applyBorder="1"/>
    <xf numFmtId="0" fontId="1" fillId="0" borderId="8" xfId="0" applyFont="1" applyFill="1" applyBorder="1"/>
    <xf numFmtId="2" fontId="1" fillId="0" borderId="1" xfId="0" applyNumberFormat="1" applyFont="1" applyFill="1" applyBorder="1"/>
    <xf numFmtId="2" fontId="1" fillId="0" borderId="6" xfId="0" applyNumberFormat="1" applyFont="1" applyFill="1" applyBorder="1"/>
    <xf numFmtId="2" fontId="1" fillId="0" borderId="14" xfId="0" applyNumberFormat="1" applyFont="1" applyFill="1" applyBorder="1"/>
    <xf numFmtId="49" fontId="1" fillId="0" borderId="6" xfId="0" applyNumberFormat="1" applyFont="1" applyFill="1" applyBorder="1"/>
    <xf numFmtId="0" fontId="1" fillId="0" borderId="1" xfId="0" applyFont="1" applyFill="1" applyBorder="1" applyAlignment="1">
      <alignment wrapText="1"/>
    </xf>
    <xf numFmtId="164" fontId="1" fillId="0" borderId="14" xfId="0" applyNumberFormat="1" applyFont="1" applyFill="1" applyBorder="1"/>
    <xf numFmtId="0" fontId="1" fillId="0" borderId="8" xfId="0" applyFont="1" applyFill="1" applyBorder="1" applyAlignment="1">
      <alignment horizontal="left" vertical="top"/>
    </xf>
    <xf numFmtId="0" fontId="1" fillId="0" borderId="15" xfId="0" applyFont="1" applyFill="1" applyBorder="1"/>
    <xf numFmtId="0" fontId="2" fillId="0" borderId="7" xfId="0" applyFont="1" applyFill="1" applyBorder="1" applyAlignment="1">
      <alignment horizontal="center" vertical="top"/>
    </xf>
    <xf numFmtId="0" fontId="1" fillId="0" borderId="12" xfId="0" applyFont="1" applyFill="1" applyBorder="1"/>
    <xf numFmtId="0" fontId="1" fillId="0" borderId="9" xfId="0" applyFont="1" applyFill="1" applyBorder="1"/>
    <xf numFmtId="49" fontId="1" fillId="0" borderId="12" xfId="0" applyNumberFormat="1" applyFont="1" applyFill="1" applyBorder="1"/>
    <xf numFmtId="0" fontId="1" fillId="0" borderId="13" xfId="0" applyFont="1" applyFill="1" applyBorder="1"/>
    <xf numFmtId="2" fontId="1" fillId="0" borderId="13" xfId="0" applyNumberFormat="1" applyFont="1" applyFill="1" applyBorder="1"/>
    <xf numFmtId="2" fontId="1" fillId="0" borderId="12" xfId="0" applyNumberFormat="1" applyFont="1" applyFill="1" applyBorder="1"/>
    <xf numFmtId="2" fontId="1" fillId="0" borderId="10" xfId="0" applyNumberFormat="1" applyFont="1" applyFill="1" applyBorder="1"/>
    <xf numFmtId="0" fontId="2" fillId="0" borderId="11" xfId="0" applyFont="1" applyFill="1" applyBorder="1" applyAlignment="1">
      <alignment horizontal="center" vertical="top"/>
    </xf>
    <xf numFmtId="0" fontId="1" fillId="0" borderId="1" xfId="1" applyFont="1" applyFill="1" applyBorder="1"/>
    <xf numFmtId="0" fontId="4" fillId="0" borderId="17" xfId="0" applyFont="1" applyFill="1" applyBorder="1" applyAlignment="1">
      <alignment vertical="top"/>
    </xf>
    <xf numFmtId="0" fontId="0" fillId="0" borderId="0" xfId="0" applyFont="1" applyFill="1" applyBorder="1"/>
    <xf numFmtId="0" fontId="0" fillId="0" borderId="19" xfId="0" applyFont="1" applyFill="1" applyBorder="1"/>
    <xf numFmtId="0" fontId="0" fillId="0" borderId="20" xfId="0" applyFont="1" applyFill="1" applyBorder="1"/>
    <xf numFmtId="0" fontId="0" fillId="0" borderId="21" xfId="0" applyFont="1" applyFill="1" applyBorder="1"/>
    <xf numFmtId="164" fontId="0" fillId="0" borderId="19" xfId="0" applyNumberFormat="1" applyFont="1" applyFill="1" applyBorder="1"/>
    <xf numFmtId="2" fontId="0" fillId="0" borderId="19" xfId="0" applyNumberFormat="1" applyFont="1" applyFill="1" applyBorder="1"/>
    <xf numFmtId="49" fontId="0" fillId="0" borderId="20" xfId="0" applyNumberFormat="1" applyFont="1" applyFill="1" applyBorder="1"/>
    <xf numFmtId="2" fontId="0" fillId="0" borderId="20" xfId="0" applyNumberFormat="1" applyFont="1" applyFill="1" applyBorder="1"/>
    <xf numFmtId="165" fontId="0" fillId="0" borderId="19" xfId="0" applyNumberFormat="1" applyFont="1" applyFill="1" applyBorder="1"/>
    <xf numFmtId="0" fontId="4" fillId="0" borderId="20" xfId="0" applyFont="1" applyFill="1" applyBorder="1" applyAlignment="1">
      <alignment vertical="top"/>
    </xf>
    <xf numFmtId="0" fontId="0" fillId="0" borderId="1" xfId="0" applyFont="1" applyFill="1" applyBorder="1"/>
    <xf numFmtId="0" fontId="0" fillId="0" borderId="22" xfId="0" applyFont="1" applyFill="1" applyBorder="1"/>
    <xf numFmtId="164" fontId="0" fillId="0" borderId="0" xfId="0" applyNumberFormat="1" applyFont="1" applyFill="1" applyBorder="1"/>
    <xf numFmtId="2" fontId="0" fillId="0" borderId="0" xfId="0" applyNumberFormat="1" applyFont="1" applyFill="1" applyBorder="1"/>
    <xf numFmtId="0" fontId="1" fillId="0" borderId="1" xfId="0" applyFont="1" applyBorder="1"/>
    <xf numFmtId="2" fontId="0" fillId="0" borderId="1" xfId="0" applyNumberFormat="1" applyFont="1" applyFill="1" applyBorder="1"/>
    <xf numFmtId="165" fontId="0" fillId="0" borderId="0" xfId="0" applyNumberFormat="1" applyFont="1" applyFill="1" applyBorder="1"/>
    <xf numFmtId="0" fontId="1" fillId="0" borderId="0" xfId="0" applyFont="1" applyFill="1" applyBorder="1"/>
    <xf numFmtId="0" fontId="1" fillId="0" borderId="22" xfId="0" applyFont="1" applyFill="1" applyBorder="1"/>
    <xf numFmtId="164" fontId="1" fillId="0" borderId="0" xfId="0" applyNumberFormat="1" applyFont="1" applyFill="1" applyBorder="1"/>
    <xf numFmtId="2" fontId="1" fillId="0" borderId="0" xfId="0" applyNumberFormat="1" applyFont="1" applyFill="1" applyBorder="1"/>
    <xf numFmtId="165" fontId="1" fillId="0" borderId="0" xfId="0" applyNumberFormat="1" applyFont="1" applyFill="1" applyBorder="1"/>
    <xf numFmtId="0" fontId="1" fillId="0" borderId="16" xfId="0" applyFont="1" applyFill="1" applyBorder="1"/>
    <xf numFmtId="0" fontId="1" fillId="0" borderId="17" xfId="0" applyFont="1" applyFill="1" applyBorder="1"/>
    <xf numFmtId="0" fontId="1" fillId="0" borderId="18" xfId="0" applyFont="1" applyFill="1" applyBorder="1"/>
    <xf numFmtId="164" fontId="1" fillId="0" borderId="16" xfId="0" applyNumberFormat="1" applyFont="1" applyFill="1" applyBorder="1"/>
    <xf numFmtId="2" fontId="1" fillId="0" borderId="16" xfId="0" applyNumberFormat="1" applyFont="1" applyFill="1" applyBorder="1"/>
    <xf numFmtId="2" fontId="1" fillId="0" borderId="17" xfId="0" applyNumberFormat="1" applyFont="1" applyFill="1" applyBorder="1"/>
    <xf numFmtId="165" fontId="1" fillId="0" borderId="16" xfId="0" applyNumberFormat="1" applyFont="1" applyFill="1" applyBorder="1"/>
    <xf numFmtId="0" fontId="5" fillId="0" borderId="16" xfId="0" applyFont="1" applyFill="1" applyBorder="1"/>
    <xf numFmtId="0" fontId="6" fillId="0" borderId="0" xfId="0" applyFont="1" applyFill="1"/>
    <xf numFmtId="0" fontId="8" fillId="0" borderId="0" xfId="0" applyFont="1" applyAlignment="1">
      <alignment horizontal="left"/>
    </xf>
    <xf numFmtId="0" fontId="9" fillId="0" borderId="0" xfId="0" applyFont="1" applyAlignment="1">
      <alignment horizontal="left"/>
    </xf>
    <xf numFmtId="0" fontId="0" fillId="0" borderId="0" xfId="0" applyAlignment="1"/>
    <xf numFmtId="0" fontId="11" fillId="0" borderId="0" xfId="2" applyFont="1" applyAlignment="1">
      <alignment shrinkToFit="1"/>
    </xf>
    <xf numFmtId="0" fontId="2" fillId="0" borderId="2" xfId="0" applyFont="1" applyFill="1" applyBorder="1" applyAlignment="1">
      <alignment horizontal="center"/>
    </xf>
    <xf numFmtId="0" fontId="2" fillId="0" borderId="4" xfId="0" applyFont="1" applyFill="1" applyBorder="1" applyAlignment="1">
      <alignment horizontal="center"/>
    </xf>
    <xf numFmtId="0" fontId="2" fillId="0" borderId="3" xfId="0" applyFont="1" applyFill="1" applyBorder="1" applyAlignment="1">
      <alignment horizontal="center"/>
    </xf>
    <xf numFmtId="0" fontId="2" fillId="0" borderId="5" xfId="0" applyFont="1" applyFill="1" applyBorder="1" applyAlignment="1">
      <alignment horizontal="center"/>
    </xf>
    <xf numFmtId="0" fontId="2" fillId="0" borderId="0" xfId="0" applyFont="1" applyFill="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4" fillId="0" borderId="18" xfId="0" applyFont="1" applyFill="1" applyBorder="1" applyAlignment="1">
      <alignment horizontal="center"/>
    </xf>
  </cellXfs>
  <cellStyles count="3">
    <cellStyle name="20 % - Akzent2" xfId="1" builtinId="34"/>
    <cellStyle name="Link" xfId="2"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oi.org/10.3354/meps1370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
  <sheetViews>
    <sheetView tabSelected="1" workbookViewId="0">
      <selection activeCell="A2" sqref="A2"/>
    </sheetView>
  </sheetViews>
  <sheetFormatPr baseColWidth="10" defaultRowHeight="14.4" x14ac:dyDescent="0.3"/>
  <sheetData>
    <row r="1" spans="1:8" ht="34.950000000000003" customHeight="1" x14ac:dyDescent="0.45">
      <c r="A1" s="58" t="s">
        <v>1094</v>
      </c>
      <c r="B1" s="60"/>
      <c r="C1" s="60"/>
      <c r="D1" s="60"/>
      <c r="E1" s="60"/>
      <c r="F1" s="60"/>
      <c r="G1" s="60"/>
      <c r="H1" s="60"/>
    </row>
    <row r="2" spans="1:8" ht="25.05" customHeight="1" x14ac:dyDescent="0.35">
      <c r="A2" s="59" t="s">
        <v>1134</v>
      </c>
      <c r="B2" s="60"/>
      <c r="C2" s="60"/>
      <c r="D2" s="60"/>
    </row>
    <row r="3" spans="1:8" ht="19.95" customHeight="1" x14ac:dyDescent="0.3">
      <c r="A3" s="61" t="s">
        <v>1095</v>
      </c>
      <c r="B3" s="61"/>
      <c r="C3" s="61"/>
    </row>
    <row r="5" spans="1:8" x14ac:dyDescent="0.3">
      <c r="A5" t="s">
        <v>1131</v>
      </c>
    </row>
    <row r="6" spans="1:8" x14ac:dyDescent="0.3">
      <c r="A6" t="s">
        <v>1132</v>
      </c>
    </row>
    <row r="7" spans="1:8" x14ac:dyDescent="0.3">
      <c r="A7" t="s">
        <v>1133</v>
      </c>
    </row>
  </sheetData>
  <mergeCells count="1">
    <mergeCell ref="A3:C3"/>
  </mergeCells>
  <hyperlinks>
    <hyperlink ref="A3" r:id="rId1" xr:uid="{00000000-0004-0000-0000-000000000000}"/>
  </hyperlinks>
  <pageMargins left="0.75" right="0.75" top="1" bottom="1" header="0.5" footer="0.5"/>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22"/>
  <sheetViews>
    <sheetView topLeftCell="U1" workbookViewId="0">
      <selection activeCell="A2" sqref="A1:A1048576"/>
    </sheetView>
  </sheetViews>
  <sheetFormatPr baseColWidth="10" defaultColWidth="8.6640625" defaultRowHeight="14.4" x14ac:dyDescent="0.3"/>
  <cols>
    <col min="1" max="1" width="12.6640625" style="3" bestFit="1" customWidth="1"/>
    <col min="2" max="2" width="17" style="4" bestFit="1" customWidth="1"/>
    <col min="3" max="3" width="15.33203125" style="3" bestFit="1" customWidth="1"/>
    <col min="4" max="4" width="16.109375" style="3" bestFit="1" customWidth="1"/>
    <col min="5" max="5" width="14.33203125" style="3" bestFit="1" customWidth="1"/>
    <col min="6" max="6" width="32.6640625" style="3" bestFit="1" customWidth="1"/>
    <col min="7" max="7" width="23.6640625" style="2" bestFit="1" customWidth="1"/>
    <col min="8" max="8" width="46.77734375" style="6" bestFit="1" customWidth="1"/>
    <col min="9" max="9" width="12" style="3" bestFit="1" customWidth="1"/>
    <col min="10" max="10" width="3.6640625" style="3" bestFit="1" customWidth="1"/>
    <col min="11" max="11" width="29.6640625" style="3" bestFit="1" customWidth="1"/>
    <col min="12" max="12" width="25.33203125" style="3" bestFit="1" customWidth="1"/>
    <col min="13" max="13" width="11.6640625" style="6" bestFit="1" customWidth="1"/>
    <col min="14" max="14" width="31.6640625" style="2" bestFit="1" customWidth="1"/>
    <col min="15" max="15" width="11.6640625" style="6" bestFit="1" customWidth="1"/>
    <col min="16" max="16" width="25.77734375" style="2" bestFit="1" customWidth="1"/>
    <col min="17" max="17" width="11.6640625" style="6" bestFit="1" customWidth="1"/>
    <col min="18" max="18" width="11.6640625" style="3" bestFit="1" customWidth="1"/>
    <col min="19" max="20" width="12.44140625" style="3" bestFit="1" customWidth="1"/>
    <col min="21" max="21" width="10.109375" style="3" customWidth="1"/>
    <col min="22" max="22" width="10.44140625" style="3" bestFit="1" customWidth="1"/>
    <col min="23" max="23" width="25.6640625" style="3" bestFit="1" customWidth="1"/>
    <col min="24" max="24" width="9" style="3" bestFit="1" customWidth="1"/>
    <col min="25" max="25" width="8.109375" style="3" bestFit="1" customWidth="1"/>
    <col min="26" max="26" width="11.6640625" style="6" bestFit="1" customWidth="1"/>
    <col min="27" max="27" width="10.44140625" style="3" bestFit="1" customWidth="1"/>
    <col min="28" max="28" width="10.109375" style="3" bestFit="1" customWidth="1"/>
    <col min="29" max="29" width="27.44140625" style="3" bestFit="1" customWidth="1"/>
    <col min="30" max="30" width="11.6640625" style="2" bestFit="1" customWidth="1"/>
    <col min="31" max="31" width="34.6640625" style="6" bestFit="1" customWidth="1"/>
    <col min="32" max="32" width="24.77734375" style="2" bestFit="1" customWidth="1"/>
    <col min="33" max="33" width="6.6640625" style="6" bestFit="1" customWidth="1"/>
    <col min="34" max="34" width="23.33203125" style="2" bestFit="1" customWidth="1"/>
    <col min="35" max="35" width="255.6640625" style="7" bestFit="1" customWidth="1"/>
    <col min="36" max="16384" width="8.6640625" style="4"/>
  </cols>
  <sheetData>
    <row r="1" spans="1:35" x14ac:dyDescent="0.3">
      <c r="A1" s="64" t="s">
        <v>0</v>
      </c>
      <c r="B1" s="64"/>
      <c r="C1" s="64"/>
      <c r="D1" s="64"/>
      <c r="E1" s="64"/>
      <c r="F1" s="64"/>
      <c r="G1" s="63"/>
      <c r="H1" s="65" t="s">
        <v>1</v>
      </c>
      <c r="I1" s="66"/>
      <c r="J1" s="66"/>
      <c r="K1" s="66"/>
      <c r="L1" s="66"/>
      <c r="M1" s="64" t="s">
        <v>2</v>
      </c>
      <c r="N1" s="63"/>
      <c r="O1" s="62" t="s">
        <v>610</v>
      </c>
      <c r="P1" s="63"/>
      <c r="Q1" s="62" t="s">
        <v>3</v>
      </c>
      <c r="R1" s="64"/>
      <c r="S1" s="64"/>
      <c r="T1" s="64"/>
      <c r="U1" s="64"/>
      <c r="V1" s="64"/>
      <c r="W1" s="64"/>
      <c r="X1" s="64"/>
      <c r="Y1" s="64"/>
      <c r="Z1" s="62" t="s">
        <v>611</v>
      </c>
      <c r="AA1" s="64"/>
      <c r="AB1" s="64"/>
      <c r="AC1" s="64"/>
      <c r="AD1" s="63"/>
      <c r="AE1" s="62" t="s">
        <v>4</v>
      </c>
      <c r="AF1" s="63"/>
      <c r="AG1" s="62" t="s">
        <v>837</v>
      </c>
      <c r="AH1" s="63"/>
      <c r="AI1" s="16" t="s">
        <v>5</v>
      </c>
    </row>
    <row r="2" spans="1:35" ht="15" thickBot="1" x14ac:dyDescent="0.35">
      <c r="A2" s="17" t="s">
        <v>6</v>
      </c>
      <c r="B2" s="18" t="s">
        <v>7</v>
      </c>
      <c r="C2" s="17" t="s">
        <v>8</v>
      </c>
      <c r="D2" s="19" t="s">
        <v>9</v>
      </c>
      <c r="E2" s="19" t="s">
        <v>0</v>
      </c>
      <c r="F2" s="17" t="s">
        <v>10</v>
      </c>
      <c r="G2" s="1" t="s">
        <v>11</v>
      </c>
      <c r="H2" s="20" t="s">
        <v>12</v>
      </c>
      <c r="I2" s="17" t="s">
        <v>13</v>
      </c>
      <c r="J2" s="17" t="s">
        <v>14</v>
      </c>
      <c r="K2" s="17" t="s">
        <v>659</v>
      </c>
      <c r="L2" s="19" t="s">
        <v>15</v>
      </c>
      <c r="M2" s="20" t="s">
        <v>16</v>
      </c>
      <c r="N2" s="1" t="s">
        <v>17</v>
      </c>
      <c r="O2" s="21" t="s">
        <v>609</v>
      </c>
      <c r="P2" s="1" t="s">
        <v>18</v>
      </c>
      <c r="Q2" s="20" t="s">
        <v>19</v>
      </c>
      <c r="R2" s="17" t="s">
        <v>20</v>
      </c>
      <c r="S2" s="17" t="s">
        <v>21</v>
      </c>
      <c r="T2" s="17" t="s">
        <v>22</v>
      </c>
      <c r="U2" s="17" t="s">
        <v>23</v>
      </c>
      <c r="V2" s="17" t="s">
        <v>24</v>
      </c>
      <c r="W2" s="17" t="s">
        <v>25</v>
      </c>
      <c r="X2" s="22" t="s">
        <v>660</v>
      </c>
      <c r="Y2" s="22" t="s">
        <v>661</v>
      </c>
      <c r="Z2" s="20" t="s">
        <v>26</v>
      </c>
      <c r="AA2" s="17" t="s">
        <v>24</v>
      </c>
      <c r="AB2" s="17" t="s">
        <v>23</v>
      </c>
      <c r="AC2" s="17" t="s">
        <v>27</v>
      </c>
      <c r="AD2" s="23" t="s">
        <v>662</v>
      </c>
      <c r="AE2" s="20" t="s">
        <v>28</v>
      </c>
      <c r="AF2" s="1" t="s">
        <v>29</v>
      </c>
      <c r="AG2" s="20" t="s">
        <v>30</v>
      </c>
      <c r="AH2" s="1" t="s">
        <v>31</v>
      </c>
      <c r="AI2" s="24"/>
    </row>
    <row r="3" spans="1:35" x14ac:dyDescent="0.3">
      <c r="A3" s="3" t="s">
        <v>41</v>
      </c>
      <c r="B3" s="4" t="s">
        <v>42</v>
      </c>
      <c r="C3" s="3" t="s">
        <v>43</v>
      </c>
      <c r="D3" s="5" t="s">
        <v>44</v>
      </c>
      <c r="E3" s="5" t="s">
        <v>45</v>
      </c>
      <c r="F3" s="3" t="str">
        <f t="shared" ref="F3:F33" si="0">CONCATENATE(D3, " ", E3)</f>
        <v>Carcharhinus limbatus</v>
      </c>
      <c r="G3" s="2" t="s">
        <v>664</v>
      </c>
      <c r="H3" s="6" t="s">
        <v>717</v>
      </c>
      <c r="I3" s="3">
        <f>-LN(0.837)-0.0106</f>
        <v>0.16733120849266178</v>
      </c>
      <c r="J3" s="3" t="s">
        <v>38</v>
      </c>
      <c r="K3" s="3" t="s">
        <v>46</v>
      </c>
      <c r="L3" s="3" t="s">
        <v>47</v>
      </c>
      <c r="M3" s="6">
        <v>18.5</v>
      </c>
      <c r="N3" s="2" t="s">
        <v>48</v>
      </c>
      <c r="O3" s="6">
        <v>6.3</v>
      </c>
      <c r="P3" s="2" t="s">
        <v>49</v>
      </c>
      <c r="Q3" s="6">
        <v>0.187</v>
      </c>
      <c r="R3" s="3">
        <v>150.57</v>
      </c>
      <c r="S3" s="3">
        <v>-2.65</v>
      </c>
      <c r="T3" s="3">
        <f>R3*(1-EXP(Q3*S3))</f>
        <v>58.837375309078219</v>
      </c>
      <c r="U3" s="3" t="s">
        <v>35</v>
      </c>
      <c r="V3" s="3" t="s">
        <v>50</v>
      </c>
      <c r="W3" s="25" t="s">
        <v>48</v>
      </c>
      <c r="X3" s="8">
        <f>1.12 *R3+1.12</f>
        <v>169.75840000000002</v>
      </c>
      <c r="Y3" s="8">
        <f>1.12 *T3+1.12</f>
        <v>67.017860346167609</v>
      </c>
      <c r="Z3" s="6">
        <v>119.2</v>
      </c>
      <c r="AA3" s="3" t="s">
        <v>50</v>
      </c>
      <c r="AB3" s="3" t="s">
        <v>35</v>
      </c>
      <c r="AC3" s="3" t="s">
        <v>49</v>
      </c>
      <c r="AD3" s="9">
        <v>134.62400000000002</v>
      </c>
      <c r="AE3" s="6" t="s">
        <v>51</v>
      </c>
      <c r="AF3" s="2" t="s">
        <v>52</v>
      </c>
      <c r="AG3" s="6">
        <v>27.4</v>
      </c>
      <c r="AH3" s="2" t="s">
        <v>53</v>
      </c>
      <c r="AI3" s="7" t="s">
        <v>838</v>
      </c>
    </row>
    <row r="4" spans="1:35" x14ac:dyDescent="0.3">
      <c r="A4" s="3" t="s">
        <v>41</v>
      </c>
      <c r="B4" s="4" t="s">
        <v>42</v>
      </c>
      <c r="C4" s="3" t="s">
        <v>43</v>
      </c>
      <c r="D4" s="5" t="s">
        <v>44</v>
      </c>
      <c r="E4" s="5" t="s">
        <v>45</v>
      </c>
      <c r="F4" s="3" t="str">
        <f t="shared" si="0"/>
        <v>Carcharhinus limbatus</v>
      </c>
      <c r="G4" s="2" t="s">
        <v>664</v>
      </c>
      <c r="H4" s="6" t="s">
        <v>717</v>
      </c>
      <c r="I4" s="3">
        <f>-LN(0.772)-0.0106</f>
        <v>0.24817072895736086</v>
      </c>
      <c r="J4" s="3" t="s">
        <v>37</v>
      </c>
      <c r="K4" s="3" t="s">
        <v>46</v>
      </c>
      <c r="L4" s="3" t="s">
        <v>47</v>
      </c>
      <c r="M4" s="6">
        <v>23.5</v>
      </c>
      <c r="N4" s="2" t="s">
        <v>48</v>
      </c>
      <c r="O4" s="6">
        <v>4.8</v>
      </c>
      <c r="P4" s="2" t="s">
        <v>49</v>
      </c>
      <c r="Q4" s="6">
        <v>0.214</v>
      </c>
      <c r="R4" s="3">
        <v>138.18</v>
      </c>
      <c r="S4" s="3">
        <v>-2.6</v>
      </c>
      <c r="T4" s="3">
        <f>R4*(1-EXP(Q4*S4))</f>
        <v>58.965672672415913</v>
      </c>
      <c r="U4" s="3" t="s">
        <v>35</v>
      </c>
      <c r="V4" s="3" t="s">
        <v>50</v>
      </c>
      <c r="W4" s="3" t="s">
        <v>48</v>
      </c>
      <c r="X4" s="8">
        <f>1.12 *R4+1.12</f>
        <v>155.88160000000002</v>
      </c>
      <c r="Y4" s="8">
        <f>1.12 *T4+1.12</f>
        <v>67.161553393105834</v>
      </c>
      <c r="Z4" s="6">
        <v>105.8</v>
      </c>
      <c r="AA4" s="3" t="s">
        <v>50</v>
      </c>
      <c r="AB4" s="3" t="s">
        <v>35</v>
      </c>
      <c r="AC4" s="3" t="s">
        <v>49</v>
      </c>
      <c r="AD4" s="9">
        <v>119.61600000000001</v>
      </c>
      <c r="AE4" s="6" t="s">
        <v>51</v>
      </c>
      <c r="AF4" s="2" t="s">
        <v>52</v>
      </c>
      <c r="AG4" s="6">
        <v>27.4</v>
      </c>
      <c r="AH4" s="2" t="s">
        <v>53</v>
      </c>
      <c r="AI4" s="7" t="s">
        <v>839</v>
      </c>
    </row>
    <row r="5" spans="1:35" x14ac:dyDescent="0.3">
      <c r="A5" s="3" t="s">
        <v>41</v>
      </c>
      <c r="B5" s="4" t="s">
        <v>42</v>
      </c>
      <c r="C5" s="3" t="s">
        <v>43</v>
      </c>
      <c r="D5" s="5" t="s">
        <v>44</v>
      </c>
      <c r="E5" s="5" t="s">
        <v>54</v>
      </c>
      <c r="F5" s="3" t="str">
        <f t="shared" si="0"/>
        <v>Carcharhinus plumbeus</v>
      </c>
      <c r="G5" s="2" t="s">
        <v>55</v>
      </c>
      <c r="H5" s="6" t="s">
        <v>56</v>
      </c>
      <c r="I5" s="3">
        <v>9.4338920000000007E-2</v>
      </c>
      <c r="J5" s="3" t="s">
        <v>32</v>
      </c>
      <c r="K5" s="3" t="s">
        <v>57</v>
      </c>
      <c r="L5" s="3" t="s">
        <v>58</v>
      </c>
      <c r="M5" s="6">
        <v>30</v>
      </c>
      <c r="N5" s="2" t="s">
        <v>59</v>
      </c>
      <c r="O5" s="10">
        <v>14.974737495722829</v>
      </c>
      <c r="P5" s="2" t="s">
        <v>34</v>
      </c>
      <c r="Q5" s="6">
        <v>0.04</v>
      </c>
      <c r="R5" s="3">
        <v>239.6</v>
      </c>
      <c r="S5" s="3">
        <v>-4.9000000000000004</v>
      </c>
      <c r="T5" s="3">
        <f>R5*(1-EXP(Q5*S5))</f>
        <v>42.645868571106512</v>
      </c>
      <c r="U5" s="3" t="s">
        <v>35</v>
      </c>
      <c r="V5" s="3" t="s">
        <v>50</v>
      </c>
      <c r="W5" s="3" t="s">
        <v>60</v>
      </c>
      <c r="X5" s="8">
        <f>1.122 *R5 + 6.004</f>
        <v>274.83520000000004</v>
      </c>
      <c r="Y5" s="8">
        <f>1.122 *T5 + 6.004</f>
        <v>53.852664536781511</v>
      </c>
      <c r="Z5" s="6">
        <f>AVERAGE(126.9, 135.9)</f>
        <v>131.4</v>
      </c>
      <c r="AA5" s="3" t="s">
        <v>50</v>
      </c>
      <c r="AB5" s="3" t="s">
        <v>35</v>
      </c>
      <c r="AC5" s="3" t="s">
        <v>61</v>
      </c>
      <c r="AD5" s="9">
        <v>153.43480000000002</v>
      </c>
      <c r="AE5" s="6" t="s">
        <v>62</v>
      </c>
      <c r="AF5" s="2" t="s">
        <v>60</v>
      </c>
      <c r="AG5" s="6">
        <v>27</v>
      </c>
      <c r="AH5" s="2" t="s">
        <v>53</v>
      </c>
      <c r="AI5" s="7" t="s">
        <v>840</v>
      </c>
    </row>
    <row r="6" spans="1:35" x14ac:dyDescent="0.3">
      <c r="A6" s="3" t="s">
        <v>41</v>
      </c>
      <c r="B6" s="4" t="s">
        <v>42</v>
      </c>
      <c r="C6" s="3" t="s">
        <v>43</v>
      </c>
      <c r="D6" s="5" t="s">
        <v>65</v>
      </c>
      <c r="E6" s="5" t="s">
        <v>66</v>
      </c>
      <c r="F6" s="3" t="str">
        <f t="shared" si="0"/>
        <v>Rhizoprionodon taylori</v>
      </c>
      <c r="G6" s="2" t="s">
        <v>67</v>
      </c>
      <c r="H6" s="6" t="s">
        <v>63</v>
      </c>
      <c r="I6" s="3">
        <v>0.56100000000000005</v>
      </c>
      <c r="J6" s="3" t="s">
        <v>38</v>
      </c>
      <c r="K6" s="3" t="s">
        <v>33</v>
      </c>
      <c r="L6" s="3" t="s">
        <v>68</v>
      </c>
      <c r="M6" s="6">
        <v>6.9</v>
      </c>
      <c r="N6" s="2" t="s">
        <v>69</v>
      </c>
      <c r="O6" s="10">
        <v>1.0623128160173099</v>
      </c>
      <c r="P6" s="11" t="s">
        <v>34</v>
      </c>
      <c r="Q6" s="6">
        <v>1.0129999999999999</v>
      </c>
      <c r="R6" s="3">
        <v>73.25</v>
      </c>
      <c r="S6" s="3">
        <v>-0.45500000000000002</v>
      </c>
      <c r="T6" s="3">
        <f t="shared" ref="T6:T12" si="1">R6*(1-EXP(Q6*S6))</f>
        <v>27.050764612474602</v>
      </c>
      <c r="U6" s="3" t="s">
        <v>35</v>
      </c>
      <c r="V6" s="3" t="s">
        <v>36</v>
      </c>
      <c r="W6" s="3" t="s">
        <v>69</v>
      </c>
      <c r="X6" s="8">
        <f>R6</f>
        <v>73.25</v>
      </c>
      <c r="Y6" s="8">
        <f>T6</f>
        <v>27.050764612474602</v>
      </c>
      <c r="Z6" s="6">
        <v>57.5</v>
      </c>
      <c r="AA6" s="3" t="s">
        <v>36</v>
      </c>
      <c r="AB6" s="3" t="s">
        <v>35</v>
      </c>
      <c r="AC6" s="3" t="s">
        <v>70</v>
      </c>
      <c r="AD6" s="9">
        <v>57.5</v>
      </c>
      <c r="AE6" s="6" t="s">
        <v>34</v>
      </c>
      <c r="AF6" s="2" t="s">
        <v>34</v>
      </c>
      <c r="AG6" s="6">
        <v>25</v>
      </c>
      <c r="AH6" s="2" t="s">
        <v>638</v>
      </c>
    </row>
    <row r="7" spans="1:35" x14ac:dyDescent="0.3">
      <c r="A7" s="3" t="s">
        <v>41</v>
      </c>
      <c r="B7" s="4" t="s">
        <v>42</v>
      </c>
      <c r="C7" s="3" t="s">
        <v>43</v>
      </c>
      <c r="D7" s="5" t="s">
        <v>65</v>
      </c>
      <c r="E7" s="5" t="s">
        <v>66</v>
      </c>
      <c r="F7" s="3" t="str">
        <f t="shared" si="0"/>
        <v>Rhizoprionodon taylori</v>
      </c>
      <c r="G7" s="2" t="s">
        <v>67</v>
      </c>
      <c r="H7" s="6" t="s">
        <v>63</v>
      </c>
      <c r="I7" s="3">
        <v>0.69799999999999995</v>
      </c>
      <c r="J7" s="3" t="s">
        <v>37</v>
      </c>
      <c r="K7" s="3" t="s">
        <v>33</v>
      </c>
      <c r="L7" s="3" t="s">
        <v>68</v>
      </c>
      <c r="M7" s="6">
        <v>5.7</v>
      </c>
      <c r="N7" s="2" t="s">
        <v>69</v>
      </c>
      <c r="O7" s="10">
        <v>1.0532693588576445</v>
      </c>
      <c r="P7" s="11" t="s">
        <v>34</v>
      </c>
      <c r="Q7" s="6">
        <v>1.337</v>
      </c>
      <c r="R7" s="3">
        <v>65.22</v>
      </c>
      <c r="S7" s="3">
        <v>-0.41</v>
      </c>
      <c r="T7" s="3">
        <f t="shared" si="1"/>
        <v>27.522409861273335</v>
      </c>
      <c r="U7" s="3" t="s">
        <v>35</v>
      </c>
      <c r="V7" s="3" t="s">
        <v>36</v>
      </c>
      <c r="W7" s="3" t="s">
        <v>69</v>
      </c>
      <c r="X7" s="8">
        <f>R7</f>
        <v>65.22</v>
      </c>
      <c r="Y7" s="8">
        <f>T7</f>
        <v>27.522409861273335</v>
      </c>
      <c r="Z7" s="6">
        <v>56</v>
      </c>
      <c r="AA7" s="3" t="s">
        <v>36</v>
      </c>
      <c r="AB7" s="3" t="s">
        <v>35</v>
      </c>
      <c r="AC7" s="3" t="s">
        <v>70</v>
      </c>
      <c r="AD7" s="9">
        <v>56</v>
      </c>
      <c r="AE7" s="6" t="s">
        <v>34</v>
      </c>
      <c r="AF7" s="2" t="s">
        <v>34</v>
      </c>
      <c r="AG7" s="6">
        <v>25</v>
      </c>
      <c r="AH7" s="2" t="s">
        <v>638</v>
      </c>
    </row>
    <row r="8" spans="1:35" x14ac:dyDescent="0.3">
      <c r="A8" s="3" t="s">
        <v>41</v>
      </c>
      <c r="B8" s="4" t="s">
        <v>42</v>
      </c>
      <c r="C8" s="3" t="s">
        <v>71</v>
      </c>
      <c r="D8" s="5" t="s">
        <v>72</v>
      </c>
      <c r="E8" s="5" t="s">
        <v>73</v>
      </c>
      <c r="F8" s="3" t="str">
        <f t="shared" si="0"/>
        <v>Sphyrna tiburo</v>
      </c>
      <c r="G8" s="2" t="s">
        <v>74</v>
      </c>
      <c r="H8" s="6" t="s">
        <v>717</v>
      </c>
      <c r="I8" s="3">
        <v>0.47299999999999998</v>
      </c>
      <c r="J8" s="3" t="s">
        <v>38</v>
      </c>
      <c r="K8" s="3" t="s">
        <v>33</v>
      </c>
      <c r="L8" s="3" t="s">
        <v>58</v>
      </c>
      <c r="M8" s="6">
        <v>11.4</v>
      </c>
      <c r="N8" s="2" t="s">
        <v>866</v>
      </c>
      <c r="O8" s="6">
        <v>4.5</v>
      </c>
      <c r="P8" s="2" t="s">
        <v>866</v>
      </c>
      <c r="Q8" s="6">
        <v>0.24299999999999999</v>
      </c>
      <c r="R8" s="3">
        <v>948.3</v>
      </c>
      <c r="S8" s="3">
        <v>-1.27</v>
      </c>
      <c r="T8" s="3">
        <f t="shared" si="1"/>
        <v>251.80479561595968</v>
      </c>
      <c r="U8" s="3" t="s">
        <v>40</v>
      </c>
      <c r="V8" s="3" t="s">
        <v>50</v>
      </c>
      <c r="W8" s="3" t="s">
        <v>866</v>
      </c>
      <c r="X8" s="8">
        <f>(1.18*R8-23.34)/10</f>
        <v>109.5654</v>
      </c>
      <c r="Y8" s="8">
        <f>(1.18*T8-23.34)/10</f>
        <v>27.378965882683239</v>
      </c>
      <c r="Z8" s="6">
        <v>82.2</v>
      </c>
      <c r="AA8" s="3" t="s">
        <v>36</v>
      </c>
      <c r="AB8" s="3" t="s">
        <v>35</v>
      </c>
      <c r="AC8" s="3" t="s">
        <v>75</v>
      </c>
      <c r="AD8" s="9">
        <v>82.2</v>
      </c>
      <c r="AE8" s="6" t="s">
        <v>865</v>
      </c>
      <c r="AF8" s="3" t="s">
        <v>75</v>
      </c>
      <c r="AG8" s="6">
        <v>22.3</v>
      </c>
      <c r="AH8" s="2" t="s">
        <v>638</v>
      </c>
      <c r="AI8" s="7" t="s">
        <v>867</v>
      </c>
    </row>
    <row r="9" spans="1:35" x14ac:dyDescent="0.3">
      <c r="A9" s="3" t="s">
        <v>41</v>
      </c>
      <c r="B9" s="4" t="s">
        <v>42</v>
      </c>
      <c r="C9" s="3" t="s">
        <v>71</v>
      </c>
      <c r="D9" s="5" t="s">
        <v>72</v>
      </c>
      <c r="E9" s="5" t="s">
        <v>73</v>
      </c>
      <c r="F9" s="3" t="str">
        <f t="shared" si="0"/>
        <v>Sphyrna tiburo</v>
      </c>
      <c r="G9" s="2" t="s">
        <v>74</v>
      </c>
      <c r="H9" s="6" t="s">
        <v>717</v>
      </c>
      <c r="I9" s="3">
        <v>0.48599999999999999</v>
      </c>
      <c r="J9" s="3" t="s">
        <v>37</v>
      </c>
      <c r="K9" s="3" t="s">
        <v>33</v>
      </c>
      <c r="L9" s="3" t="s">
        <v>58</v>
      </c>
      <c r="M9" s="6">
        <v>8.9</v>
      </c>
      <c r="N9" s="2" t="s">
        <v>866</v>
      </c>
      <c r="O9" s="6">
        <v>5.2</v>
      </c>
      <c r="P9" s="2" t="s">
        <v>866</v>
      </c>
      <c r="Q9" s="6">
        <v>0.254</v>
      </c>
      <c r="R9" s="3">
        <v>769.6</v>
      </c>
      <c r="S9" s="3">
        <v>-1.56</v>
      </c>
      <c r="T9" s="3">
        <f t="shared" si="1"/>
        <v>251.77833891970371</v>
      </c>
      <c r="U9" s="3" t="s">
        <v>40</v>
      </c>
      <c r="V9" s="3" t="s">
        <v>50</v>
      </c>
      <c r="W9" s="3" t="s">
        <v>866</v>
      </c>
      <c r="X9" s="8">
        <f>(1.18*R9-23.34)/10</f>
        <v>88.478799999999993</v>
      </c>
      <c r="Y9" s="8">
        <f>(1.18*T9-23.34)/10</f>
        <v>27.375843992525041</v>
      </c>
      <c r="Z9" s="6">
        <v>72.099999999999994</v>
      </c>
      <c r="AA9" s="3" t="s">
        <v>36</v>
      </c>
      <c r="AB9" s="3" t="s">
        <v>35</v>
      </c>
      <c r="AC9" s="3" t="s">
        <v>75</v>
      </c>
      <c r="AD9" s="9">
        <v>72.099999999999994</v>
      </c>
      <c r="AE9" s="6" t="s">
        <v>865</v>
      </c>
      <c r="AF9" s="3" t="s">
        <v>75</v>
      </c>
      <c r="AG9" s="6">
        <v>22.3</v>
      </c>
      <c r="AH9" s="2" t="s">
        <v>638</v>
      </c>
      <c r="AI9" s="7" t="s">
        <v>867</v>
      </c>
    </row>
    <row r="10" spans="1:35" x14ac:dyDescent="0.3">
      <c r="A10" s="3" t="s">
        <v>41</v>
      </c>
      <c r="B10" s="4" t="s">
        <v>42</v>
      </c>
      <c r="C10" s="3" t="s">
        <v>76</v>
      </c>
      <c r="D10" s="5" t="s">
        <v>77</v>
      </c>
      <c r="E10" s="5" t="s">
        <v>78</v>
      </c>
      <c r="F10" s="3" t="str">
        <f t="shared" si="0"/>
        <v>Galeorhinus galeus</v>
      </c>
      <c r="G10" s="2" t="s">
        <v>79</v>
      </c>
      <c r="H10" s="6" t="s">
        <v>80</v>
      </c>
      <c r="I10" s="3">
        <v>0.09</v>
      </c>
      <c r="J10" s="3" t="s">
        <v>32</v>
      </c>
      <c r="K10" s="3" t="s">
        <v>57</v>
      </c>
      <c r="L10" s="3" t="s">
        <v>81</v>
      </c>
      <c r="M10" s="6">
        <f>AVERAGE(50.59, 54.73)</f>
        <v>52.66</v>
      </c>
      <c r="N10" s="2" t="s">
        <v>58</v>
      </c>
      <c r="O10" s="10">
        <v>9.2178129246660419</v>
      </c>
      <c r="P10" s="2" t="s">
        <v>34</v>
      </c>
      <c r="Q10" s="6">
        <f>AVERAGE(0.168, 0.164)</f>
        <v>0.16600000000000001</v>
      </c>
      <c r="R10" s="3">
        <f>AVERAGE(162.6, 160)</f>
        <v>161.30000000000001</v>
      </c>
      <c r="S10" s="3">
        <f>AVERAGE(-1.21, -1.27)</f>
        <v>-1.24</v>
      </c>
      <c r="T10" s="3">
        <f t="shared" si="1"/>
        <v>30.007719711170239</v>
      </c>
      <c r="U10" s="3" t="s">
        <v>35</v>
      </c>
      <c r="V10" s="3" t="s">
        <v>36</v>
      </c>
      <c r="W10" s="3" t="s">
        <v>82</v>
      </c>
      <c r="X10" s="8">
        <f t="shared" ref="X10:X17" si="2">R10</f>
        <v>161.30000000000001</v>
      </c>
      <c r="Y10" s="8">
        <f t="shared" ref="Y10:Y17" si="3">T10</f>
        <v>30.007719711170239</v>
      </c>
      <c r="Z10" s="6">
        <f>AVERAGE(132, 120, 144.5, 135)</f>
        <v>132.875</v>
      </c>
      <c r="AA10" s="3" t="s">
        <v>36</v>
      </c>
      <c r="AB10" s="3" t="s">
        <v>35</v>
      </c>
      <c r="AC10" s="3" t="s">
        <v>83</v>
      </c>
      <c r="AD10" s="9">
        <v>132.875</v>
      </c>
      <c r="AE10" s="6" t="s">
        <v>34</v>
      </c>
      <c r="AF10" s="2" t="s">
        <v>34</v>
      </c>
      <c r="AG10" s="6">
        <v>12.3</v>
      </c>
      <c r="AH10" s="2" t="s">
        <v>53</v>
      </c>
      <c r="AI10" s="7" t="s">
        <v>854</v>
      </c>
    </row>
    <row r="11" spans="1:35" x14ac:dyDescent="0.3">
      <c r="A11" s="3" t="s">
        <v>41</v>
      </c>
      <c r="B11" s="4" t="s">
        <v>42</v>
      </c>
      <c r="C11" s="3" t="s">
        <v>76</v>
      </c>
      <c r="D11" s="5" t="s">
        <v>84</v>
      </c>
      <c r="E11" s="5" t="s">
        <v>85</v>
      </c>
      <c r="F11" s="3" t="str">
        <f t="shared" si="0"/>
        <v>Mustelus antarcticus</v>
      </c>
      <c r="G11" s="2" t="s">
        <v>86</v>
      </c>
      <c r="H11" s="6" t="s">
        <v>80</v>
      </c>
      <c r="I11" s="3">
        <v>0.28299999999999997</v>
      </c>
      <c r="J11" s="3" t="s">
        <v>32</v>
      </c>
      <c r="K11" s="3" t="s">
        <v>57</v>
      </c>
      <c r="L11" s="3" t="s">
        <v>81</v>
      </c>
      <c r="M11" s="6">
        <f>AVERAGE(15, 16)</f>
        <v>15.5</v>
      </c>
      <c r="N11" s="2" t="s">
        <v>87</v>
      </c>
      <c r="O11" s="10">
        <v>4.436767492961768</v>
      </c>
      <c r="P11" s="2" t="s">
        <v>34</v>
      </c>
      <c r="Q11" s="6">
        <f>AVERAGE(0.253, 0.123)</f>
        <v>0.188</v>
      </c>
      <c r="R11" s="3">
        <f>AVERAGE(138.7,  201.9)</f>
        <v>170.3</v>
      </c>
      <c r="S11" s="3">
        <f>AVERAGE(0.9, 1.55)*-1</f>
        <v>-1.2250000000000001</v>
      </c>
      <c r="T11" s="3">
        <f t="shared" si="1"/>
        <v>35.031514127134692</v>
      </c>
      <c r="U11" s="3" t="s">
        <v>35</v>
      </c>
      <c r="V11" s="3" t="s">
        <v>36</v>
      </c>
      <c r="W11" s="3" t="s">
        <v>82</v>
      </c>
      <c r="X11" s="8">
        <f t="shared" si="2"/>
        <v>170.3</v>
      </c>
      <c r="Y11" s="8">
        <f t="shared" si="3"/>
        <v>35.031514127134692</v>
      </c>
      <c r="Z11" s="6">
        <f>AVERAGE(AVERAGE(95.3, 103.7, 99.1, 97.8, 95, 107, 100.7, 105.9, 92.3, 113.3, 111.2, 108.3), AVERAGE(110.5, 119.2, 125.3, 112.9, 112.9, 131.8, 126.3, 126.3))</f>
        <v>111.55833333333331</v>
      </c>
      <c r="AA11" s="3" t="s">
        <v>36</v>
      </c>
      <c r="AB11" s="3" t="s">
        <v>35</v>
      </c>
      <c r="AC11" s="3" t="s">
        <v>88</v>
      </c>
      <c r="AD11" s="9">
        <v>111.55833333333331</v>
      </c>
      <c r="AE11" s="6" t="s">
        <v>34</v>
      </c>
      <c r="AF11" s="2" t="s">
        <v>34</v>
      </c>
      <c r="AG11" s="6">
        <v>16</v>
      </c>
      <c r="AH11" s="2" t="s">
        <v>53</v>
      </c>
    </row>
    <row r="12" spans="1:35" x14ac:dyDescent="0.3">
      <c r="A12" s="3" t="s">
        <v>41</v>
      </c>
      <c r="B12" s="4" t="s">
        <v>89</v>
      </c>
      <c r="C12" s="3" t="s">
        <v>90</v>
      </c>
      <c r="D12" s="5" t="s">
        <v>91</v>
      </c>
      <c r="E12" s="5" t="s">
        <v>92</v>
      </c>
      <c r="F12" s="3" t="str">
        <f t="shared" si="0"/>
        <v>Heterodontus portusjacksoni</v>
      </c>
      <c r="G12" s="2" t="s">
        <v>93</v>
      </c>
      <c r="H12" s="6" t="s">
        <v>718</v>
      </c>
      <c r="I12" s="3">
        <f>AVERAGE(0.063, 0.074)</f>
        <v>6.8500000000000005E-2</v>
      </c>
      <c r="J12" s="3" t="s">
        <v>32</v>
      </c>
      <c r="K12" s="3" t="s">
        <v>57</v>
      </c>
      <c r="L12" s="3" t="s">
        <v>94</v>
      </c>
      <c r="M12" s="6">
        <f>AVERAGE(35, 33.8)</f>
        <v>34.4</v>
      </c>
      <c r="N12" s="2" t="s">
        <v>95</v>
      </c>
      <c r="O12" s="10">
        <v>12.543251011875727</v>
      </c>
      <c r="P12" s="2" t="s">
        <v>34</v>
      </c>
      <c r="Q12" s="6">
        <f>AVERAGE(0.07, 0.084)</f>
        <v>7.7000000000000013E-2</v>
      </c>
      <c r="R12" s="3">
        <f>AVERAGE(124.2, 108)</f>
        <v>116.1</v>
      </c>
      <c r="S12" s="3">
        <f>AVERAGE(-3.86, -4.086)</f>
        <v>-3.9729999999999999</v>
      </c>
      <c r="T12" s="3">
        <f t="shared" si="1"/>
        <v>30.598759149919214</v>
      </c>
      <c r="U12" s="3" t="s">
        <v>35</v>
      </c>
      <c r="V12" s="3" t="s">
        <v>36</v>
      </c>
      <c r="W12" s="3" t="s">
        <v>96</v>
      </c>
      <c r="X12" s="8">
        <f t="shared" si="2"/>
        <v>116.1</v>
      </c>
      <c r="Y12" s="8">
        <f t="shared" si="3"/>
        <v>30.598759149919214</v>
      </c>
      <c r="Z12" s="6">
        <f>AVERAGE(90.21,90.53, 76.25, 77.22)</f>
        <v>83.552500000000009</v>
      </c>
      <c r="AA12" s="3" t="s">
        <v>36</v>
      </c>
      <c r="AB12" s="3" t="s">
        <v>35</v>
      </c>
      <c r="AC12" s="3" t="s">
        <v>97</v>
      </c>
      <c r="AD12" s="9">
        <v>83.552500000000009</v>
      </c>
      <c r="AE12" s="6" t="s">
        <v>34</v>
      </c>
      <c r="AF12" s="2" t="s">
        <v>34</v>
      </c>
      <c r="AG12" s="6">
        <v>16.8</v>
      </c>
      <c r="AH12" s="2" t="s">
        <v>53</v>
      </c>
    </row>
    <row r="13" spans="1:35" x14ac:dyDescent="0.3">
      <c r="A13" s="3" t="s">
        <v>41</v>
      </c>
      <c r="B13" s="4" t="s">
        <v>98</v>
      </c>
      <c r="C13" s="12" t="s">
        <v>99</v>
      </c>
      <c r="D13" s="5" t="s">
        <v>100</v>
      </c>
      <c r="E13" s="5" t="s">
        <v>101</v>
      </c>
      <c r="F13" s="3" t="str">
        <f t="shared" si="0"/>
        <v>Lamna nasus</v>
      </c>
      <c r="G13" s="2" t="s">
        <v>102</v>
      </c>
      <c r="H13" s="6" t="s">
        <v>103</v>
      </c>
      <c r="I13" s="3">
        <v>0.18</v>
      </c>
      <c r="J13" s="3" t="s">
        <v>32</v>
      </c>
      <c r="K13" s="3" t="s">
        <v>33</v>
      </c>
      <c r="L13" s="3" t="s">
        <v>104</v>
      </c>
      <c r="M13" s="6">
        <v>20</v>
      </c>
      <c r="N13" s="2" t="s">
        <v>104</v>
      </c>
      <c r="O13" s="10">
        <v>8.2728263638739072</v>
      </c>
      <c r="P13" s="2" t="s">
        <v>34</v>
      </c>
      <c r="Q13" s="6">
        <v>0.11550000000000001</v>
      </c>
      <c r="R13" s="3">
        <v>280</v>
      </c>
      <c r="S13" s="3">
        <f>1/Q13*LN((R13-T13)/(R13-0))</f>
        <v>-2.5736062637916155</v>
      </c>
      <c r="T13" s="3">
        <v>72</v>
      </c>
      <c r="U13" s="3" t="s">
        <v>35</v>
      </c>
      <c r="V13" s="3" t="s">
        <v>36</v>
      </c>
      <c r="W13" s="3" t="s">
        <v>104</v>
      </c>
      <c r="X13" s="8">
        <f t="shared" si="2"/>
        <v>280</v>
      </c>
      <c r="Y13" s="8">
        <f t="shared" si="3"/>
        <v>72</v>
      </c>
      <c r="Z13" s="6">
        <f>AVERAGE(150, 200, 200, 250)</f>
        <v>200</v>
      </c>
      <c r="AA13" s="3" t="s">
        <v>36</v>
      </c>
      <c r="AB13" s="3" t="s">
        <v>35</v>
      </c>
      <c r="AC13" s="3" t="s">
        <v>105</v>
      </c>
      <c r="AD13" s="9">
        <v>200</v>
      </c>
      <c r="AE13" s="6" t="s">
        <v>106</v>
      </c>
      <c r="AF13" s="2" t="s">
        <v>107</v>
      </c>
      <c r="AG13" s="6">
        <v>7</v>
      </c>
      <c r="AH13" s="2" t="s">
        <v>638</v>
      </c>
      <c r="AI13" s="7" t="s">
        <v>108</v>
      </c>
    </row>
    <row r="14" spans="1:35" x14ac:dyDescent="0.3">
      <c r="A14" s="3" t="s">
        <v>41</v>
      </c>
      <c r="B14" s="4" t="s">
        <v>109</v>
      </c>
      <c r="C14" s="3" t="s">
        <v>110</v>
      </c>
      <c r="D14" s="5" t="s">
        <v>111</v>
      </c>
      <c r="E14" s="5" t="s">
        <v>112</v>
      </c>
      <c r="F14" s="3" t="str">
        <f t="shared" si="0"/>
        <v>Urolophus paucimaculatus</v>
      </c>
      <c r="G14" s="2" t="s">
        <v>665</v>
      </c>
      <c r="H14" s="6" t="s">
        <v>113</v>
      </c>
      <c r="I14" s="3">
        <f>AVERAGE(0.21, 0.68)</f>
        <v>0.44500000000000001</v>
      </c>
      <c r="J14" s="3" t="s">
        <v>32</v>
      </c>
      <c r="K14" s="3" t="s">
        <v>33</v>
      </c>
      <c r="L14" s="3" t="s">
        <v>114</v>
      </c>
      <c r="M14" s="6">
        <f>AVERAGE(10, 8)</f>
        <v>9</v>
      </c>
      <c r="N14" s="2" t="s">
        <v>114</v>
      </c>
      <c r="O14" s="10">
        <v>2.0006622904525897</v>
      </c>
      <c r="P14" s="2" t="s">
        <v>34</v>
      </c>
      <c r="Q14" s="6">
        <f>AVERAGE(0.45, 0.21)</f>
        <v>0.33</v>
      </c>
      <c r="R14" s="3">
        <f>AVERAGE(42.8, 57.3)</f>
        <v>50.05</v>
      </c>
      <c r="S14" s="3">
        <f>AVERAGE(0.57, 1.78)*-1</f>
        <v>-1.175</v>
      </c>
      <c r="T14" s="3">
        <f t="shared" ref="T14:T22" si="4">R14*(1-EXP(Q14*S14))</f>
        <v>16.086972524018769</v>
      </c>
      <c r="U14" s="3" t="s">
        <v>35</v>
      </c>
      <c r="V14" s="3" t="s">
        <v>36</v>
      </c>
      <c r="W14" s="3" t="s">
        <v>114</v>
      </c>
      <c r="X14" s="8">
        <f t="shared" si="2"/>
        <v>50.05</v>
      </c>
      <c r="Y14" s="8">
        <f t="shared" si="3"/>
        <v>16.086972524018769</v>
      </c>
      <c r="Z14" s="6">
        <f>AVERAGE(34, 31)</f>
        <v>32.5</v>
      </c>
      <c r="AA14" s="3" t="s">
        <v>36</v>
      </c>
      <c r="AB14" s="3" t="s">
        <v>35</v>
      </c>
      <c r="AC14" s="3" t="s">
        <v>115</v>
      </c>
      <c r="AD14" s="9">
        <v>32.5</v>
      </c>
      <c r="AE14" s="6" t="s">
        <v>34</v>
      </c>
      <c r="AF14" s="2" t="s">
        <v>34</v>
      </c>
      <c r="AG14" s="6">
        <v>16.5</v>
      </c>
      <c r="AH14" s="2" t="s">
        <v>638</v>
      </c>
      <c r="AI14" s="7" t="s">
        <v>116</v>
      </c>
    </row>
    <row r="15" spans="1:35" x14ac:dyDescent="0.3">
      <c r="A15" s="3" t="s">
        <v>41</v>
      </c>
      <c r="B15" s="4" t="s">
        <v>117</v>
      </c>
      <c r="C15" s="3" t="s">
        <v>118</v>
      </c>
      <c r="D15" s="5" t="s">
        <v>119</v>
      </c>
      <c r="E15" s="5" t="s">
        <v>120</v>
      </c>
      <c r="F15" s="3" t="str">
        <f t="shared" si="0"/>
        <v>Leucoraja ocellata</v>
      </c>
      <c r="G15" s="2" t="s">
        <v>121</v>
      </c>
      <c r="H15" s="6" t="s">
        <v>122</v>
      </c>
      <c r="I15" s="3">
        <v>0.14000000000000001</v>
      </c>
      <c r="J15" s="3" t="s">
        <v>32</v>
      </c>
      <c r="K15" s="3" t="s">
        <v>123</v>
      </c>
      <c r="L15" s="3" t="s">
        <v>124</v>
      </c>
      <c r="M15" s="6">
        <v>19</v>
      </c>
      <c r="N15" s="2" t="s">
        <v>125</v>
      </c>
      <c r="O15" s="10">
        <v>12.350000000000001</v>
      </c>
      <c r="P15" s="2" t="s">
        <v>126</v>
      </c>
      <c r="Q15" s="6">
        <v>0.15</v>
      </c>
      <c r="R15" s="3">
        <v>94.1</v>
      </c>
      <c r="S15" s="3">
        <v>-1.3</v>
      </c>
      <c r="T15" s="3">
        <f t="shared" si="4"/>
        <v>16.671258676928666</v>
      </c>
      <c r="U15" s="3" t="s">
        <v>35</v>
      </c>
      <c r="V15" s="3" t="s">
        <v>36</v>
      </c>
      <c r="W15" s="3" t="s">
        <v>125</v>
      </c>
      <c r="X15" s="8">
        <f t="shared" si="2"/>
        <v>94.1</v>
      </c>
      <c r="Y15" s="8">
        <f t="shared" si="3"/>
        <v>16.671258676928666</v>
      </c>
      <c r="Z15" s="6">
        <f>AVERAGE(75.9, 77)</f>
        <v>76.45</v>
      </c>
      <c r="AA15" s="3" t="s">
        <v>36</v>
      </c>
      <c r="AB15" s="3" t="s">
        <v>35</v>
      </c>
      <c r="AC15" s="3" t="s">
        <v>126</v>
      </c>
      <c r="AD15" s="9">
        <v>76.45</v>
      </c>
      <c r="AE15" s="6" t="s">
        <v>34</v>
      </c>
      <c r="AF15" s="2" t="s">
        <v>34</v>
      </c>
      <c r="AG15" s="6">
        <v>7.9</v>
      </c>
      <c r="AH15" s="2" t="s">
        <v>53</v>
      </c>
    </row>
    <row r="16" spans="1:35" x14ac:dyDescent="0.3">
      <c r="A16" s="3" t="s">
        <v>41</v>
      </c>
      <c r="B16" s="4" t="s">
        <v>127</v>
      </c>
      <c r="C16" s="3" t="s">
        <v>128</v>
      </c>
      <c r="D16" s="5" t="s">
        <v>129</v>
      </c>
      <c r="E16" s="5" t="s">
        <v>130</v>
      </c>
      <c r="F16" s="3" t="str">
        <f t="shared" si="0"/>
        <v>Squalus acanthias</v>
      </c>
      <c r="G16" s="2" t="s">
        <v>131</v>
      </c>
      <c r="H16" s="6" t="s">
        <v>132</v>
      </c>
      <c r="I16" s="3">
        <v>0.10299999999999999</v>
      </c>
      <c r="J16" s="3" t="s">
        <v>32</v>
      </c>
      <c r="K16" s="3" t="s">
        <v>57</v>
      </c>
      <c r="L16" s="3" t="s">
        <v>133</v>
      </c>
      <c r="M16" s="6">
        <f>AVERAGE(35, 40)</f>
        <v>37.5</v>
      </c>
      <c r="N16" s="2" t="s">
        <v>134</v>
      </c>
      <c r="O16" s="10">
        <v>8.4976755059377993</v>
      </c>
      <c r="P16" s="2" t="s">
        <v>34</v>
      </c>
      <c r="Q16" s="6">
        <f>AVERAGE(0.11, 0.14)</f>
        <v>0.125</v>
      </c>
      <c r="R16" s="3">
        <f>AVERAGE(86, 104)</f>
        <v>95</v>
      </c>
      <c r="S16" s="3">
        <f>AVERAGE(3.13, 3.28)*-1</f>
        <v>-3.2050000000000001</v>
      </c>
      <c r="T16" s="3">
        <f t="shared" si="4"/>
        <v>31.359383444359409</v>
      </c>
      <c r="U16" s="3" t="s">
        <v>35</v>
      </c>
      <c r="V16" s="3" t="s">
        <v>36</v>
      </c>
      <c r="W16" s="3" t="s">
        <v>134</v>
      </c>
      <c r="X16" s="8">
        <f t="shared" si="2"/>
        <v>95</v>
      </c>
      <c r="Y16" s="8">
        <f t="shared" si="3"/>
        <v>31.359383444359409</v>
      </c>
      <c r="Z16" s="6">
        <f>AVERAGE(AVERAGE(59,69), 82)</f>
        <v>73</v>
      </c>
      <c r="AA16" s="3" t="s">
        <v>36</v>
      </c>
      <c r="AB16" s="3" t="s">
        <v>35</v>
      </c>
      <c r="AC16" s="3" t="s">
        <v>135</v>
      </c>
      <c r="AD16" s="9">
        <v>73</v>
      </c>
      <c r="AE16" s="6" t="s">
        <v>34</v>
      </c>
      <c r="AF16" s="2" t="s">
        <v>34</v>
      </c>
      <c r="AG16" s="6">
        <v>9.9</v>
      </c>
      <c r="AH16" s="2" t="s">
        <v>53</v>
      </c>
      <c r="AI16" s="7" t="s">
        <v>136</v>
      </c>
    </row>
    <row r="17" spans="1:35" x14ac:dyDescent="0.3">
      <c r="A17" s="3" t="s">
        <v>41</v>
      </c>
      <c r="B17" s="4" t="s">
        <v>127</v>
      </c>
      <c r="C17" s="3" t="s">
        <v>128</v>
      </c>
      <c r="D17" s="5" t="s">
        <v>129</v>
      </c>
      <c r="E17" s="5" t="s">
        <v>137</v>
      </c>
      <c r="F17" s="3" t="str">
        <f t="shared" si="0"/>
        <v>Squalus suckleyi</v>
      </c>
      <c r="G17" s="2" t="s">
        <v>138</v>
      </c>
      <c r="H17" s="6" t="s">
        <v>139</v>
      </c>
      <c r="I17" s="3">
        <v>4.5818369999999997E-2</v>
      </c>
      <c r="J17" s="3" t="s">
        <v>37</v>
      </c>
      <c r="K17" s="3" t="s">
        <v>33</v>
      </c>
      <c r="L17" s="3" t="s">
        <v>58</v>
      </c>
      <c r="M17" s="6">
        <v>73</v>
      </c>
      <c r="N17" s="2" t="s">
        <v>140</v>
      </c>
      <c r="O17" s="10">
        <v>21.265541755689465</v>
      </c>
      <c r="P17" s="2" t="s">
        <v>34</v>
      </c>
      <c r="Q17" s="6">
        <v>6.7000000000000004E-2</v>
      </c>
      <c r="R17" s="3">
        <v>91.9</v>
      </c>
      <c r="S17" s="3">
        <v>-1.57</v>
      </c>
      <c r="T17" s="3">
        <f t="shared" si="4"/>
        <v>9.1758954474518308</v>
      </c>
      <c r="U17" s="3" t="s">
        <v>35</v>
      </c>
      <c r="V17" s="3" t="s">
        <v>36</v>
      </c>
      <c r="W17" s="3" t="s">
        <v>141</v>
      </c>
      <c r="X17" s="8">
        <f t="shared" si="2"/>
        <v>91.9</v>
      </c>
      <c r="Y17" s="8">
        <f t="shared" si="3"/>
        <v>9.1758954474518308</v>
      </c>
      <c r="Z17" s="6">
        <v>72</v>
      </c>
      <c r="AA17" s="3" t="s">
        <v>36</v>
      </c>
      <c r="AB17" s="3" t="s">
        <v>35</v>
      </c>
      <c r="AC17" s="3" t="s">
        <v>142</v>
      </c>
      <c r="AD17" s="9">
        <v>72</v>
      </c>
      <c r="AE17" s="6" t="s">
        <v>34</v>
      </c>
      <c r="AF17" s="2" t="s">
        <v>34</v>
      </c>
      <c r="AG17" s="6">
        <v>10.199999999999999</v>
      </c>
      <c r="AH17" s="2" t="s">
        <v>53</v>
      </c>
      <c r="AI17" s="7" t="s">
        <v>655</v>
      </c>
    </row>
    <row r="18" spans="1:35" x14ac:dyDescent="0.3">
      <c r="A18" s="3" t="s">
        <v>143</v>
      </c>
      <c r="B18" s="4" t="s">
        <v>144</v>
      </c>
      <c r="C18" s="3" t="s">
        <v>145</v>
      </c>
      <c r="D18" s="5" t="s">
        <v>146</v>
      </c>
      <c r="E18" s="5" t="s">
        <v>147</v>
      </c>
      <c r="F18" s="3" t="str">
        <f t="shared" si="0"/>
        <v>Hyporhamphus melanochir</v>
      </c>
      <c r="G18" s="2" t="s">
        <v>666</v>
      </c>
      <c r="H18" s="6" t="s">
        <v>148</v>
      </c>
      <c r="I18" s="3">
        <v>0.35</v>
      </c>
      <c r="J18" s="3" t="s">
        <v>38</v>
      </c>
      <c r="K18" s="3" t="s">
        <v>33</v>
      </c>
      <c r="L18" s="3" t="s">
        <v>149</v>
      </c>
      <c r="M18" s="6">
        <v>8</v>
      </c>
      <c r="N18" s="2" t="s">
        <v>149</v>
      </c>
      <c r="O18" s="10">
        <v>2.0925779745389725</v>
      </c>
      <c r="P18" s="2" t="s">
        <v>629</v>
      </c>
      <c r="Q18" s="6">
        <v>0.54</v>
      </c>
      <c r="R18" s="3">
        <v>38.700000000000003</v>
      </c>
      <c r="S18" s="3">
        <v>0.3</v>
      </c>
      <c r="T18" s="3">
        <f t="shared" si="4"/>
        <v>-6.805791339122691</v>
      </c>
      <c r="U18" s="3" t="s">
        <v>35</v>
      </c>
      <c r="V18" s="3" t="s">
        <v>150</v>
      </c>
      <c r="W18" s="3" t="s">
        <v>149</v>
      </c>
      <c r="X18" s="8">
        <f>1.1423*R18+ 0.7732</f>
        <v>44.980210000000007</v>
      </c>
      <c r="Y18" s="8">
        <f>1.1423*T18+ 0.7732</f>
        <v>-7.0010554466798505</v>
      </c>
      <c r="Z18" s="10">
        <f>AVERAGE(20, 28)</f>
        <v>24</v>
      </c>
      <c r="AA18" s="3" t="s">
        <v>150</v>
      </c>
      <c r="AB18" s="3" t="s">
        <v>35</v>
      </c>
      <c r="AC18" s="3" t="s">
        <v>149</v>
      </c>
      <c r="AD18" s="9">
        <v>28.188400000000001</v>
      </c>
      <c r="AE18" s="6" t="s">
        <v>151</v>
      </c>
      <c r="AF18" s="2" t="s">
        <v>152</v>
      </c>
      <c r="AG18" s="6">
        <v>20</v>
      </c>
      <c r="AH18" s="2" t="s">
        <v>638</v>
      </c>
      <c r="AI18" s="7" t="s">
        <v>153</v>
      </c>
    </row>
    <row r="19" spans="1:35" x14ac:dyDescent="0.3">
      <c r="A19" s="3" t="s">
        <v>143</v>
      </c>
      <c r="B19" s="4" t="s">
        <v>144</v>
      </c>
      <c r="C19" s="3" t="s">
        <v>145</v>
      </c>
      <c r="D19" s="5" t="s">
        <v>146</v>
      </c>
      <c r="E19" s="5" t="s">
        <v>147</v>
      </c>
      <c r="F19" s="3" t="str">
        <f t="shared" si="0"/>
        <v>Hyporhamphus melanochir</v>
      </c>
      <c r="G19" s="2" t="s">
        <v>666</v>
      </c>
      <c r="H19" s="6" t="s">
        <v>148</v>
      </c>
      <c r="I19" s="3">
        <v>0.53</v>
      </c>
      <c r="J19" s="3" t="s">
        <v>37</v>
      </c>
      <c r="K19" s="3" t="s">
        <v>33</v>
      </c>
      <c r="L19" s="3" t="s">
        <v>149</v>
      </c>
      <c r="M19" s="6">
        <v>10</v>
      </c>
      <c r="N19" s="2" t="s">
        <v>149</v>
      </c>
      <c r="O19" s="10">
        <v>2.2130468670532126</v>
      </c>
      <c r="P19" s="2" t="s">
        <v>629</v>
      </c>
      <c r="Q19" s="6">
        <v>0.50700000000000001</v>
      </c>
      <c r="R19" s="3">
        <v>36.700000000000003</v>
      </c>
      <c r="S19" s="3">
        <v>0.12</v>
      </c>
      <c r="T19" s="3">
        <f t="shared" si="4"/>
        <v>-2.3021493075267254</v>
      </c>
      <c r="U19" s="3" t="s">
        <v>35</v>
      </c>
      <c r="V19" s="3" t="s">
        <v>150</v>
      </c>
      <c r="W19" s="3" t="s">
        <v>149</v>
      </c>
      <c r="X19" s="8">
        <f>1.1423*R19+ 0.7732</f>
        <v>42.695610000000009</v>
      </c>
      <c r="Y19" s="8">
        <f>1.1423*T19+ 0.7732</f>
        <v>-1.8565451539877786</v>
      </c>
      <c r="Z19" s="10">
        <f>AVERAGE(20, 28)</f>
        <v>24</v>
      </c>
      <c r="AA19" s="3" t="s">
        <v>150</v>
      </c>
      <c r="AB19" s="3" t="s">
        <v>35</v>
      </c>
      <c r="AC19" s="3" t="s">
        <v>149</v>
      </c>
      <c r="AD19" s="9">
        <v>28.188400000000001</v>
      </c>
      <c r="AE19" s="6" t="s">
        <v>151</v>
      </c>
      <c r="AF19" s="2" t="s">
        <v>152</v>
      </c>
      <c r="AG19" s="6">
        <v>20</v>
      </c>
      <c r="AH19" s="2" t="s">
        <v>638</v>
      </c>
      <c r="AI19" s="7" t="s">
        <v>153</v>
      </c>
    </row>
    <row r="20" spans="1:35" x14ac:dyDescent="0.3">
      <c r="A20" s="3" t="s">
        <v>143</v>
      </c>
      <c r="B20" s="4" t="s">
        <v>154</v>
      </c>
      <c r="C20" s="3" t="s">
        <v>155</v>
      </c>
      <c r="D20" s="5" t="s">
        <v>156</v>
      </c>
      <c r="E20" s="5" t="s">
        <v>157</v>
      </c>
      <c r="F20" s="3" t="str">
        <f t="shared" si="0"/>
        <v>Brevoortia patronus</v>
      </c>
      <c r="G20" s="2" t="s">
        <v>158</v>
      </c>
      <c r="H20" s="6" t="s">
        <v>159</v>
      </c>
      <c r="I20" s="3">
        <f>AVERAGE(1.1672, 1.2287, 0.6927, 1.6083, 0.8805, 0.9835)</f>
        <v>1.0934833333333334</v>
      </c>
      <c r="J20" s="3" t="s">
        <v>32</v>
      </c>
      <c r="K20" s="3" t="s">
        <v>64</v>
      </c>
      <c r="L20" s="3" t="s">
        <v>160</v>
      </c>
      <c r="M20" s="6">
        <v>4.625</v>
      </c>
      <c r="N20" s="2" t="s">
        <v>161</v>
      </c>
      <c r="O20" s="10">
        <v>1</v>
      </c>
      <c r="P20" s="2" t="s">
        <v>162</v>
      </c>
      <c r="Q20" s="6">
        <v>0.4748</v>
      </c>
      <c r="R20" s="3">
        <f>252.893/10</f>
        <v>25.289300000000001</v>
      </c>
      <c r="S20" s="3">
        <v>-0.35849999999999999</v>
      </c>
      <c r="T20" s="3">
        <f t="shared" si="4"/>
        <v>3.9582110993601294</v>
      </c>
      <c r="U20" s="3" t="s">
        <v>40</v>
      </c>
      <c r="V20" s="3" t="s">
        <v>50</v>
      </c>
      <c r="W20" s="3" t="s">
        <v>161</v>
      </c>
      <c r="X20" s="8">
        <f>(R20-1.191)/0.85</f>
        <v>28.350941176470592</v>
      </c>
      <c r="Y20" s="8">
        <f>(T20-1.191)/0.85</f>
        <v>3.2555424698354467</v>
      </c>
      <c r="Z20" s="10">
        <f>AVERAGE(100, 230)/10</f>
        <v>16.5</v>
      </c>
      <c r="AA20" s="3" t="s">
        <v>50</v>
      </c>
      <c r="AB20" s="3" t="s">
        <v>40</v>
      </c>
      <c r="AC20" s="3" t="s">
        <v>162</v>
      </c>
      <c r="AD20" s="2">
        <v>18.010588235294119</v>
      </c>
      <c r="AE20" s="6" t="s">
        <v>163</v>
      </c>
      <c r="AF20" s="2" t="s">
        <v>164</v>
      </c>
      <c r="AG20" s="6">
        <v>24.5</v>
      </c>
      <c r="AH20" s="2" t="s">
        <v>638</v>
      </c>
      <c r="AI20" s="7" t="s">
        <v>639</v>
      </c>
    </row>
    <row r="21" spans="1:35" x14ac:dyDescent="0.3">
      <c r="A21" s="3" t="s">
        <v>143</v>
      </c>
      <c r="B21" s="4" t="s">
        <v>154</v>
      </c>
      <c r="C21" s="3" t="s">
        <v>155</v>
      </c>
      <c r="D21" s="5" t="s">
        <v>156</v>
      </c>
      <c r="E21" s="5" t="s">
        <v>165</v>
      </c>
      <c r="F21" s="3" t="str">
        <f t="shared" si="0"/>
        <v>Brevoortia tyrannus</v>
      </c>
      <c r="G21" s="2" t="s">
        <v>166</v>
      </c>
      <c r="H21" s="6" t="s">
        <v>167</v>
      </c>
      <c r="I21" s="3">
        <v>0.37</v>
      </c>
      <c r="J21" s="3" t="s">
        <v>32</v>
      </c>
      <c r="K21" s="3" t="s">
        <v>168</v>
      </c>
      <c r="L21" s="3" t="s">
        <v>169</v>
      </c>
      <c r="M21" s="6">
        <v>10</v>
      </c>
      <c r="N21" s="2" t="s">
        <v>169</v>
      </c>
      <c r="O21" s="10">
        <v>1.5619760340110449</v>
      </c>
      <c r="P21" s="2" t="s">
        <v>629</v>
      </c>
      <c r="Q21" s="6">
        <v>0.39100000000000001</v>
      </c>
      <c r="R21" s="3">
        <f>(830/0.00000676)^(1/3.18)/10</f>
        <v>34.974540022658928</v>
      </c>
      <c r="S21" s="3">
        <v>-0.93</v>
      </c>
      <c r="T21" s="3">
        <f t="shared" si="4"/>
        <v>10.662046161986247</v>
      </c>
      <c r="U21" s="3" t="s">
        <v>40</v>
      </c>
      <c r="V21" s="3" t="s">
        <v>34</v>
      </c>
      <c r="W21" s="3" t="s">
        <v>169</v>
      </c>
      <c r="X21" s="8">
        <f>R21</f>
        <v>34.974540022658928</v>
      </c>
      <c r="Y21" s="8">
        <f>T21</f>
        <v>10.662046161986247</v>
      </c>
      <c r="Z21" s="6">
        <f>AVERAGE(180, 200)/10</f>
        <v>19</v>
      </c>
      <c r="AA21" s="3" t="s">
        <v>50</v>
      </c>
      <c r="AB21" s="3" t="s">
        <v>40</v>
      </c>
      <c r="AC21" s="3" t="s">
        <v>170</v>
      </c>
      <c r="AD21" s="9">
        <v>21.773999999999997</v>
      </c>
      <c r="AE21" s="6" t="s">
        <v>171</v>
      </c>
      <c r="AF21" s="9" t="s">
        <v>53</v>
      </c>
      <c r="AG21" s="6">
        <v>15</v>
      </c>
      <c r="AH21" s="2" t="s">
        <v>638</v>
      </c>
      <c r="AI21" s="7" t="s">
        <v>861</v>
      </c>
    </row>
    <row r="22" spans="1:35" x14ac:dyDescent="0.3">
      <c r="A22" s="3" t="s">
        <v>143</v>
      </c>
      <c r="B22" s="4" t="s">
        <v>154</v>
      </c>
      <c r="C22" s="3" t="s">
        <v>155</v>
      </c>
      <c r="D22" s="5" t="s">
        <v>172</v>
      </c>
      <c r="E22" s="5" t="s">
        <v>173</v>
      </c>
      <c r="F22" s="3" t="str">
        <f t="shared" si="0"/>
        <v>Sardinella longiceps</v>
      </c>
      <c r="G22" s="2" t="s">
        <v>174</v>
      </c>
      <c r="H22" s="6" t="s">
        <v>719</v>
      </c>
      <c r="I22" s="3">
        <v>0.67</v>
      </c>
      <c r="J22" s="3" t="s">
        <v>32</v>
      </c>
      <c r="K22" s="3" t="s">
        <v>168</v>
      </c>
      <c r="L22" s="3" t="s">
        <v>175</v>
      </c>
      <c r="M22" s="6">
        <v>4</v>
      </c>
      <c r="N22" s="2" t="s">
        <v>175</v>
      </c>
      <c r="O22" s="10" t="s">
        <v>34</v>
      </c>
      <c r="P22" s="2" t="s">
        <v>34</v>
      </c>
      <c r="Q22" s="6">
        <f>0.044*12</f>
        <v>0.52800000000000002</v>
      </c>
      <c r="R22" s="3">
        <v>20.66</v>
      </c>
      <c r="S22" s="3">
        <f>15.98/12*-1</f>
        <v>-1.3316666666666668</v>
      </c>
      <c r="T22" s="3">
        <f t="shared" si="4"/>
        <v>10.432507232168742</v>
      </c>
      <c r="U22" s="3" t="s">
        <v>35</v>
      </c>
      <c r="V22" s="3" t="s">
        <v>34</v>
      </c>
      <c r="W22" s="3" t="s">
        <v>175</v>
      </c>
      <c r="X22" s="8">
        <f>R22</f>
        <v>20.66</v>
      </c>
      <c r="Y22" s="8">
        <f>T22</f>
        <v>10.432507232168742</v>
      </c>
      <c r="Z22" s="6" t="s">
        <v>34</v>
      </c>
      <c r="AA22" s="3" t="s">
        <v>34</v>
      </c>
      <c r="AB22" s="3" t="s">
        <v>34</v>
      </c>
      <c r="AC22" s="8" t="s">
        <v>34</v>
      </c>
      <c r="AD22" s="9" t="s">
        <v>34</v>
      </c>
      <c r="AE22" s="6" t="s">
        <v>34</v>
      </c>
      <c r="AF22" s="2" t="s">
        <v>34</v>
      </c>
      <c r="AG22" s="6">
        <v>27</v>
      </c>
      <c r="AH22" s="2" t="s">
        <v>638</v>
      </c>
      <c r="AI22" s="7" t="s">
        <v>176</v>
      </c>
    </row>
    <row r="23" spans="1:35" x14ac:dyDescent="0.3">
      <c r="A23" s="3" t="s">
        <v>143</v>
      </c>
      <c r="B23" s="4" t="s">
        <v>154</v>
      </c>
      <c r="C23" s="3" t="s">
        <v>155</v>
      </c>
      <c r="D23" s="5" t="s">
        <v>177</v>
      </c>
      <c r="E23" s="5" t="s">
        <v>178</v>
      </c>
      <c r="F23" s="3" t="str">
        <f t="shared" si="0"/>
        <v>Sardinops sagax</v>
      </c>
      <c r="G23" s="2" t="s">
        <v>667</v>
      </c>
      <c r="H23" s="6" t="s">
        <v>179</v>
      </c>
      <c r="I23" s="3">
        <v>0.43</v>
      </c>
      <c r="J23" s="3" t="s">
        <v>32</v>
      </c>
      <c r="K23" s="3" t="s">
        <v>168</v>
      </c>
      <c r="L23" s="3" t="s">
        <v>180</v>
      </c>
      <c r="M23" s="6">
        <v>8</v>
      </c>
      <c r="N23" s="2" t="s">
        <v>180</v>
      </c>
      <c r="O23" s="10">
        <v>2</v>
      </c>
      <c r="P23" s="2" t="s">
        <v>180</v>
      </c>
      <c r="Q23" s="6">
        <f>AVERAGE(0.728,  0.6629)</f>
        <v>0.69545000000000001</v>
      </c>
      <c r="R23" s="3">
        <f>AVERAGE(172, 164)/10</f>
        <v>16.8</v>
      </c>
      <c r="S23" s="3" t="s">
        <v>34</v>
      </c>
      <c r="T23" s="3" t="s">
        <v>34</v>
      </c>
      <c r="U23" s="3" t="s">
        <v>40</v>
      </c>
      <c r="V23" s="3" t="s">
        <v>50</v>
      </c>
      <c r="W23" s="3" t="s">
        <v>180</v>
      </c>
      <c r="X23" s="8">
        <f>1.091*R23</f>
        <v>18.328800000000001</v>
      </c>
      <c r="Y23" s="8">
        <v>0</v>
      </c>
      <c r="Z23" s="6" t="s">
        <v>34</v>
      </c>
      <c r="AA23" s="3" t="s">
        <v>34</v>
      </c>
      <c r="AB23" s="3" t="s">
        <v>34</v>
      </c>
      <c r="AC23" s="3" t="s">
        <v>641</v>
      </c>
      <c r="AD23" s="2">
        <v>13.76765543439398</v>
      </c>
      <c r="AE23" s="6" t="s">
        <v>181</v>
      </c>
      <c r="AF23" s="2" t="s">
        <v>53</v>
      </c>
      <c r="AG23" s="6">
        <v>17.600000000000001</v>
      </c>
      <c r="AH23" s="2" t="s">
        <v>638</v>
      </c>
      <c r="AI23" s="7" t="s">
        <v>640</v>
      </c>
    </row>
    <row r="24" spans="1:35" x14ac:dyDescent="0.3">
      <c r="A24" s="3" t="s">
        <v>143</v>
      </c>
      <c r="B24" s="4" t="s">
        <v>154</v>
      </c>
      <c r="C24" s="3" t="s">
        <v>182</v>
      </c>
      <c r="D24" s="5" t="s">
        <v>183</v>
      </c>
      <c r="E24" s="5" t="s">
        <v>184</v>
      </c>
      <c r="F24" s="3" t="str">
        <f t="shared" si="0"/>
        <v>Engraulis japonicus</v>
      </c>
      <c r="G24" s="2" t="s">
        <v>185</v>
      </c>
      <c r="H24" s="6" t="s">
        <v>186</v>
      </c>
      <c r="I24" s="3">
        <v>0.63</v>
      </c>
      <c r="J24" s="3" t="s">
        <v>32</v>
      </c>
      <c r="K24" s="3" t="s">
        <v>187</v>
      </c>
      <c r="L24" s="3" t="s">
        <v>188</v>
      </c>
      <c r="M24" s="6">
        <v>4</v>
      </c>
      <c r="N24" s="2" t="s">
        <v>188</v>
      </c>
      <c r="O24" s="10">
        <v>1.5</v>
      </c>
      <c r="P24" s="2" t="s">
        <v>188</v>
      </c>
      <c r="Q24" s="6">
        <v>0.6</v>
      </c>
      <c r="R24" s="3">
        <v>15.5</v>
      </c>
      <c r="S24" s="3">
        <v>-1</v>
      </c>
      <c r="T24" s="3">
        <f>R24*(1-EXP(Q24*S24))</f>
        <v>6.9934196405425908</v>
      </c>
      <c r="U24" s="3" t="s">
        <v>35</v>
      </c>
      <c r="V24" s="3" t="s">
        <v>36</v>
      </c>
      <c r="W24" s="3" t="s">
        <v>188</v>
      </c>
      <c r="X24" s="8">
        <f>R24</f>
        <v>15.5</v>
      </c>
      <c r="Y24" s="8">
        <f>T24</f>
        <v>6.9934196405425908</v>
      </c>
      <c r="Z24" s="6" t="s">
        <v>34</v>
      </c>
      <c r="AA24" s="3" t="s">
        <v>34</v>
      </c>
      <c r="AB24" s="3" t="s">
        <v>34</v>
      </c>
      <c r="AC24" s="3" t="s">
        <v>641</v>
      </c>
      <c r="AD24" s="2">
        <v>12.041482517699338</v>
      </c>
      <c r="AE24" s="6" t="s">
        <v>34</v>
      </c>
      <c r="AF24" s="2" t="s">
        <v>34</v>
      </c>
      <c r="AG24" s="6">
        <v>11.5</v>
      </c>
      <c r="AH24" s="2" t="s">
        <v>638</v>
      </c>
      <c r="AI24" s="7" t="s">
        <v>189</v>
      </c>
    </row>
    <row r="25" spans="1:35" x14ac:dyDescent="0.3">
      <c r="A25" s="3" t="s">
        <v>143</v>
      </c>
      <c r="B25" s="4" t="s">
        <v>190</v>
      </c>
      <c r="C25" s="3" t="s">
        <v>191</v>
      </c>
      <c r="D25" s="5" t="s">
        <v>192</v>
      </c>
      <c r="E25" s="5" t="s">
        <v>193</v>
      </c>
      <c r="F25" s="3" t="str">
        <f t="shared" si="0"/>
        <v>Trisopterus esmarkii</v>
      </c>
      <c r="G25" s="2" t="s">
        <v>194</v>
      </c>
      <c r="H25" s="6" t="s">
        <v>195</v>
      </c>
      <c r="I25" s="3">
        <v>1.48</v>
      </c>
      <c r="J25" s="3" t="s">
        <v>32</v>
      </c>
      <c r="K25" s="3" t="s">
        <v>33</v>
      </c>
      <c r="L25" s="3" t="s">
        <v>196</v>
      </c>
      <c r="M25" s="6">
        <v>6</v>
      </c>
      <c r="N25" s="2" t="s">
        <v>196</v>
      </c>
      <c r="O25" s="10">
        <v>2</v>
      </c>
      <c r="P25" s="2" t="s">
        <v>197</v>
      </c>
      <c r="Q25" s="6">
        <v>0.45</v>
      </c>
      <c r="R25" s="3">
        <v>21.54</v>
      </c>
      <c r="S25" s="3">
        <v>-0.91</v>
      </c>
      <c r="T25" s="3">
        <f>R25*(1-EXP(Q25*S25))</f>
        <v>7.2378243116935641</v>
      </c>
      <c r="U25" s="3" t="s">
        <v>35</v>
      </c>
      <c r="V25" s="3" t="s">
        <v>36</v>
      </c>
      <c r="W25" s="3" t="s">
        <v>196</v>
      </c>
      <c r="X25" s="8">
        <f>R25</f>
        <v>21.54</v>
      </c>
      <c r="Y25" s="8">
        <f>T25</f>
        <v>7.2378243116935641</v>
      </c>
      <c r="Z25" s="6" t="s">
        <v>34</v>
      </c>
      <c r="AA25" s="3" t="s">
        <v>34</v>
      </c>
      <c r="AB25" s="3" t="s">
        <v>34</v>
      </c>
      <c r="AC25" s="3" t="s">
        <v>641</v>
      </c>
      <c r="AD25" s="9">
        <v>15.725169296854983</v>
      </c>
      <c r="AE25" s="6" t="s">
        <v>34</v>
      </c>
      <c r="AF25" s="2" t="s">
        <v>34</v>
      </c>
      <c r="AG25" s="6">
        <v>9</v>
      </c>
      <c r="AH25" s="2" t="s">
        <v>638</v>
      </c>
      <c r="AI25" s="7" t="s">
        <v>198</v>
      </c>
    </row>
    <row r="26" spans="1:35" x14ac:dyDescent="0.3">
      <c r="A26" s="3" t="s">
        <v>143</v>
      </c>
      <c r="B26" s="4" t="s">
        <v>190</v>
      </c>
      <c r="C26" s="3" t="s">
        <v>199</v>
      </c>
      <c r="D26" s="5" t="s">
        <v>200</v>
      </c>
      <c r="E26" s="5" t="s">
        <v>201</v>
      </c>
      <c r="F26" s="3" t="str">
        <f t="shared" si="0"/>
        <v>Coryphaenoides rupestris</v>
      </c>
      <c r="G26" s="2" t="s">
        <v>668</v>
      </c>
      <c r="H26" s="6" t="s">
        <v>202</v>
      </c>
      <c r="I26" s="3">
        <v>0.1</v>
      </c>
      <c r="J26" s="3" t="s">
        <v>32</v>
      </c>
      <c r="K26" s="3" t="s">
        <v>33</v>
      </c>
      <c r="L26" s="3" t="s">
        <v>203</v>
      </c>
      <c r="M26" s="6">
        <f>AVERAGE(42, 60)</f>
        <v>51</v>
      </c>
      <c r="N26" s="2" t="s">
        <v>642</v>
      </c>
      <c r="O26" s="10">
        <v>9.5</v>
      </c>
      <c r="P26" s="2" t="s">
        <v>855</v>
      </c>
      <c r="Q26" s="6">
        <f>AVERAGE(0.044, 0.038)</f>
        <v>4.0999999999999995E-2</v>
      </c>
      <c r="R26" s="3">
        <f>AVERAGE(23.2, 28.2)</f>
        <v>25.7</v>
      </c>
      <c r="S26" s="3">
        <v>-2.2000000000000002</v>
      </c>
      <c r="T26" s="3">
        <f>R26*(1-EXP(Q26*S26))</f>
        <v>2.2166656750924179</v>
      </c>
      <c r="U26" s="3" t="s">
        <v>35</v>
      </c>
      <c r="V26" s="3" t="s">
        <v>204</v>
      </c>
      <c r="W26" s="3" t="s">
        <v>205</v>
      </c>
      <c r="X26" s="8">
        <f>4.48*R26+0.76</f>
        <v>115.89600000000002</v>
      </c>
      <c r="Y26" s="8">
        <f>4.48*T26+0.76</f>
        <v>10.690662224414032</v>
      </c>
      <c r="Z26" s="6">
        <v>11</v>
      </c>
      <c r="AA26" s="3" t="s">
        <v>204</v>
      </c>
      <c r="AB26" s="3" t="s">
        <v>35</v>
      </c>
      <c r="AC26" s="3" t="s">
        <v>855</v>
      </c>
      <c r="AD26" s="9">
        <v>50.04</v>
      </c>
      <c r="AE26" s="6" t="s">
        <v>206</v>
      </c>
      <c r="AF26" s="2" t="s">
        <v>855</v>
      </c>
      <c r="AG26" s="6">
        <v>9</v>
      </c>
      <c r="AH26" s="2" t="s">
        <v>638</v>
      </c>
    </row>
    <row r="27" spans="1:35" x14ac:dyDescent="0.3">
      <c r="A27" s="3" t="s">
        <v>143</v>
      </c>
      <c r="B27" s="4" t="s">
        <v>190</v>
      </c>
      <c r="C27" s="3" t="s">
        <v>207</v>
      </c>
      <c r="D27" s="5" t="s">
        <v>208</v>
      </c>
      <c r="E27" s="5" t="s">
        <v>209</v>
      </c>
      <c r="F27" s="3" t="str">
        <f t="shared" si="0"/>
        <v>Merluccius australis</v>
      </c>
      <c r="G27" s="2" t="s">
        <v>669</v>
      </c>
      <c r="H27" s="6" t="s">
        <v>720</v>
      </c>
      <c r="I27" s="3">
        <v>0.23</v>
      </c>
      <c r="J27" s="3" t="s">
        <v>38</v>
      </c>
      <c r="K27" s="3" t="s">
        <v>210</v>
      </c>
      <c r="L27" s="3" t="s">
        <v>211</v>
      </c>
      <c r="M27" s="6">
        <v>23</v>
      </c>
      <c r="N27" s="2" t="s">
        <v>211</v>
      </c>
      <c r="O27" s="10">
        <v>5.9473982617200409</v>
      </c>
      <c r="P27" s="2" t="s">
        <v>629</v>
      </c>
      <c r="Q27" s="6">
        <v>0.17199999999999999</v>
      </c>
      <c r="R27" s="3">
        <v>104.9</v>
      </c>
      <c r="S27" s="3">
        <v>-0.62</v>
      </c>
      <c r="T27" s="3">
        <f>R27*(1-EXP(Q27*S27))</f>
        <v>10.610718871322911</v>
      </c>
      <c r="U27" s="3" t="s">
        <v>35</v>
      </c>
      <c r="V27" s="3" t="s">
        <v>36</v>
      </c>
      <c r="W27" s="3" t="s">
        <v>212</v>
      </c>
      <c r="X27" s="8">
        <f>R27</f>
        <v>104.9</v>
      </c>
      <c r="Y27" s="8">
        <f>T27</f>
        <v>10.610718871322911</v>
      </c>
      <c r="Z27" s="6">
        <v>71</v>
      </c>
      <c r="AA27" s="3" t="s">
        <v>34</v>
      </c>
      <c r="AB27" s="3" t="s">
        <v>35</v>
      </c>
      <c r="AC27" s="3" t="s">
        <v>213</v>
      </c>
      <c r="AD27" s="9">
        <v>71</v>
      </c>
      <c r="AE27" s="6" t="s">
        <v>34</v>
      </c>
      <c r="AF27" s="2" t="s">
        <v>34</v>
      </c>
      <c r="AG27" s="6">
        <v>10</v>
      </c>
      <c r="AH27" s="2" t="s">
        <v>638</v>
      </c>
      <c r="AI27" s="7" t="s">
        <v>214</v>
      </c>
    </row>
    <row r="28" spans="1:35" x14ac:dyDescent="0.3">
      <c r="A28" s="3" t="s">
        <v>143</v>
      </c>
      <c r="B28" s="4" t="s">
        <v>190</v>
      </c>
      <c r="C28" s="3" t="s">
        <v>207</v>
      </c>
      <c r="D28" s="5" t="s">
        <v>208</v>
      </c>
      <c r="E28" s="5" t="s">
        <v>209</v>
      </c>
      <c r="F28" s="3" t="str">
        <f t="shared" si="0"/>
        <v>Merluccius australis</v>
      </c>
      <c r="G28" s="2" t="s">
        <v>669</v>
      </c>
      <c r="H28" s="6" t="s">
        <v>720</v>
      </c>
      <c r="I28" s="3">
        <v>0.19</v>
      </c>
      <c r="J28" s="3" t="s">
        <v>37</v>
      </c>
      <c r="K28" s="3" t="s">
        <v>210</v>
      </c>
      <c r="L28" s="3" t="s">
        <v>211</v>
      </c>
      <c r="M28" s="6">
        <v>21</v>
      </c>
      <c r="N28" s="2" t="s">
        <v>211</v>
      </c>
      <c r="O28" s="10">
        <v>5.1714044330210127</v>
      </c>
      <c r="P28" s="2" t="s">
        <v>629</v>
      </c>
      <c r="Q28" s="6">
        <v>0.24299999999999999</v>
      </c>
      <c r="R28" s="3">
        <v>83.7</v>
      </c>
      <c r="S28" s="3">
        <v>-0.57799999999999996</v>
      </c>
      <c r="T28" s="3">
        <f>R28*(1-EXP(Q28*S28))</f>
        <v>10.967743638283517</v>
      </c>
      <c r="U28" s="3" t="s">
        <v>35</v>
      </c>
      <c r="V28" s="3" t="s">
        <v>36</v>
      </c>
      <c r="W28" s="3" t="s">
        <v>212</v>
      </c>
      <c r="X28" s="8">
        <f>R28</f>
        <v>83.7</v>
      </c>
      <c r="Y28" s="8">
        <f>T28</f>
        <v>10.967743638283517</v>
      </c>
      <c r="Z28" s="6">
        <f>AVERAGE(61, 65)</f>
        <v>63</v>
      </c>
      <c r="AA28" s="3" t="s">
        <v>34</v>
      </c>
      <c r="AB28" s="3" t="s">
        <v>35</v>
      </c>
      <c r="AC28" s="3" t="s">
        <v>213</v>
      </c>
      <c r="AD28" s="9">
        <v>63</v>
      </c>
      <c r="AE28" s="6" t="s">
        <v>34</v>
      </c>
      <c r="AF28" s="2" t="s">
        <v>34</v>
      </c>
      <c r="AG28" s="6">
        <v>10</v>
      </c>
      <c r="AH28" s="2" t="s">
        <v>638</v>
      </c>
      <c r="AI28" s="7" t="s">
        <v>214</v>
      </c>
    </row>
    <row r="29" spans="1:35" x14ac:dyDescent="0.3">
      <c r="A29" s="3" t="s">
        <v>143</v>
      </c>
      <c r="B29" s="4" t="s">
        <v>215</v>
      </c>
      <c r="C29" s="3" t="s">
        <v>216</v>
      </c>
      <c r="D29" s="5" t="s">
        <v>217</v>
      </c>
      <c r="E29" s="5" t="s">
        <v>218</v>
      </c>
      <c r="F29" s="3" t="str">
        <f t="shared" si="0"/>
        <v>Hippocampus guttulatus</v>
      </c>
      <c r="G29" s="2" t="s">
        <v>670</v>
      </c>
      <c r="H29" s="6" t="s">
        <v>219</v>
      </c>
      <c r="I29" s="3">
        <v>1.22</v>
      </c>
      <c r="J29" s="3" t="s">
        <v>32</v>
      </c>
      <c r="K29" s="3" t="s">
        <v>220</v>
      </c>
      <c r="L29" s="3" t="s">
        <v>221</v>
      </c>
      <c r="M29" s="6">
        <v>5.46</v>
      </c>
      <c r="N29" s="2" t="s">
        <v>221</v>
      </c>
      <c r="O29" s="10" t="s">
        <v>34</v>
      </c>
      <c r="P29" s="2" t="s">
        <v>34</v>
      </c>
      <c r="Q29" s="6">
        <v>0.57099999999999995</v>
      </c>
      <c r="R29" s="3">
        <f>197.6/10</f>
        <v>19.759999999999998</v>
      </c>
      <c r="S29" s="3" t="s">
        <v>34</v>
      </c>
      <c r="T29" s="3" t="s">
        <v>34</v>
      </c>
      <c r="U29" s="3" t="s">
        <v>40</v>
      </c>
      <c r="V29" s="3" t="s">
        <v>150</v>
      </c>
      <c r="W29" s="3" t="s">
        <v>221</v>
      </c>
      <c r="X29" s="8">
        <f>R29</f>
        <v>19.759999999999998</v>
      </c>
      <c r="Y29" s="8">
        <v>0</v>
      </c>
      <c r="Z29" s="6">
        <v>109.4</v>
      </c>
      <c r="AA29" s="3" t="s">
        <v>150</v>
      </c>
      <c r="AB29" s="3" t="s">
        <v>40</v>
      </c>
      <c r="AC29" s="3" t="s">
        <v>221</v>
      </c>
      <c r="AD29" s="9">
        <v>10.940000000000001</v>
      </c>
      <c r="AE29" s="6" t="s">
        <v>34</v>
      </c>
      <c r="AF29" s="2" t="s">
        <v>34</v>
      </c>
      <c r="AG29" s="6">
        <v>18.2</v>
      </c>
      <c r="AH29" s="2" t="s">
        <v>638</v>
      </c>
      <c r="AI29" s="7" t="s">
        <v>643</v>
      </c>
    </row>
    <row r="30" spans="1:35" x14ac:dyDescent="0.3">
      <c r="A30" s="3" t="s">
        <v>143</v>
      </c>
      <c r="B30" s="4" t="s">
        <v>222</v>
      </c>
      <c r="C30" s="3" t="s">
        <v>223</v>
      </c>
      <c r="D30" s="5" t="s">
        <v>224</v>
      </c>
      <c r="E30" s="5" t="s">
        <v>225</v>
      </c>
      <c r="F30" s="3" t="str">
        <f t="shared" si="0"/>
        <v>Benthosema glaciale</v>
      </c>
      <c r="G30" s="2" t="s">
        <v>671</v>
      </c>
      <c r="H30" s="6" t="s">
        <v>226</v>
      </c>
      <c r="I30" s="3">
        <v>0.7</v>
      </c>
      <c r="J30" s="3" t="s">
        <v>32</v>
      </c>
      <c r="K30" s="3" t="s">
        <v>33</v>
      </c>
      <c r="L30" s="3" t="s">
        <v>644</v>
      </c>
      <c r="M30" s="6">
        <v>8</v>
      </c>
      <c r="N30" s="2" t="s">
        <v>644</v>
      </c>
      <c r="O30" s="10">
        <v>2</v>
      </c>
      <c r="P30" s="2" t="s">
        <v>644</v>
      </c>
      <c r="Q30" s="6">
        <v>0.20399999999999999</v>
      </c>
      <c r="R30" s="3">
        <f>83.063/10</f>
        <v>8.3063000000000002</v>
      </c>
      <c r="S30" s="3">
        <v>-0.64</v>
      </c>
      <c r="T30" s="3">
        <f>R30*(1-EXP(Q30*S30))</f>
        <v>1.0166592641856576</v>
      </c>
      <c r="U30" s="3" t="s">
        <v>40</v>
      </c>
      <c r="V30" s="3" t="s">
        <v>150</v>
      </c>
      <c r="W30" s="3" t="s">
        <v>644</v>
      </c>
      <c r="X30" s="8">
        <f>(R30/0.81)</f>
        <v>10.25469135802469</v>
      </c>
      <c r="Y30" s="8">
        <f>(T30/0.81)</f>
        <v>1.2551348940563674</v>
      </c>
      <c r="Z30" s="6" t="s">
        <v>34</v>
      </c>
      <c r="AA30" s="3" t="s">
        <v>34</v>
      </c>
      <c r="AB30" s="3" t="s">
        <v>34</v>
      </c>
      <c r="AC30" s="3" t="s">
        <v>641</v>
      </c>
      <c r="AD30" s="2">
        <v>4.2701763907161343</v>
      </c>
      <c r="AE30" s="6" t="s">
        <v>227</v>
      </c>
      <c r="AF30" s="2" t="s">
        <v>53</v>
      </c>
      <c r="AG30" s="6">
        <v>6.5</v>
      </c>
      <c r="AH30" s="2" t="s">
        <v>638</v>
      </c>
    </row>
    <row r="31" spans="1:35" x14ac:dyDescent="0.3">
      <c r="A31" s="3" t="s">
        <v>143</v>
      </c>
      <c r="B31" s="4" t="s">
        <v>228</v>
      </c>
      <c r="C31" s="3" t="s">
        <v>229</v>
      </c>
      <c r="D31" s="5" t="s">
        <v>230</v>
      </c>
      <c r="E31" s="5" t="s">
        <v>231</v>
      </c>
      <c r="F31" s="3" t="str">
        <f t="shared" si="0"/>
        <v>Acanthurus bahianus</v>
      </c>
      <c r="G31" s="2" t="s">
        <v>672</v>
      </c>
      <c r="H31" s="6" t="s">
        <v>232</v>
      </c>
      <c r="I31" s="3">
        <f>-LN(0.93)</f>
        <v>7.2570692834835374E-2</v>
      </c>
      <c r="J31" s="3" t="s">
        <v>32</v>
      </c>
      <c r="K31" s="3" t="s">
        <v>33</v>
      </c>
      <c r="L31" s="3" t="s">
        <v>233</v>
      </c>
      <c r="M31" s="6">
        <v>19</v>
      </c>
      <c r="N31" s="2" t="s">
        <v>233</v>
      </c>
      <c r="O31" s="10" t="s">
        <v>34</v>
      </c>
      <c r="P31" s="2" t="s">
        <v>34</v>
      </c>
      <c r="Q31" s="6">
        <v>1.22</v>
      </c>
      <c r="R31" s="3">
        <f>175.4/10</f>
        <v>17.54</v>
      </c>
      <c r="S31" s="3" t="s">
        <v>34</v>
      </c>
      <c r="T31" s="8" t="s">
        <v>34</v>
      </c>
      <c r="U31" s="3" t="s">
        <v>40</v>
      </c>
      <c r="V31" s="3" t="s">
        <v>150</v>
      </c>
      <c r="W31" s="3" t="s">
        <v>233</v>
      </c>
      <c r="X31" s="8">
        <f t="shared" ref="X31:X37" si="5">(1.367*R31)</f>
        <v>23.977179999999997</v>
      </c>
      <c r="Y31" s="8">
        <v>0</v>
      </c>
      <c r="Z31" s="6" t="s">
        <v>34</v>
      </c>
      <c r="AA31" s="3" t="s">
        <v>34</v>
      </c>
      <c r="AB31" s="3" t="s">
        <v>34</v>
      </c>
      <c r="AC31" s="3" t="s">
        <v>34</v>
      </c>
      <c r="AD31" s="2" t="s">
        <v>34</v>
      </c>
      <c r="AE31" s="6" t="s">
        <v>234</v>
      </c>
      <c r="AF31" s="2" t="s">
        <v>53</v>
      </c>
      <c r="AG31" s="6">
        <v>26</v>
      </c>
      <c r="AH31" s="2" t="s">
        <v>233</v>
      </c>
      <c r="AI31" s="7" t="s">
        <v>235</v>
      </c>
    </row>
    <row r="32" spans="1:35" x14ac:dyDescent="0.3">
      <c r="A32" s="3" t="s">
        <v>143</v>
      </c>
      <c r="B32" s="4" t="s">
        <v>228</v>
      </c>
      <c r="C32" s="3" t="s">
        <v>229</v>
      </c>
      <c r="D32" s="5" t="s">
        <v>230</v>
      </c>
      <c r="E32" s="5" t="s">
        <v>231</v>
      </c>
      <c r="F32" s="3" t="str">
        <f t="shared" si="0"/>
        <v>Acanthurus bahianus</v>
      </c>
      <c r="G32" s="2" t="s">
        <v>672</v>
      </c>
      <c r="H32" s="6" t="s">
        <v>236</v>
      </c>
      <c r="I32" s="3">
        <f>-LN(0.74)</f>
        <v>0.30110509278392161</v>
      </c>
      <c r="J32" s="3" t="s">
        <v>32</v>
      </c>
      <c r="K32" s="3" t="s">
        <v>33</v>
      </c>
      <c r="L32" s="3" t="s">
        <v>233</v>
      </c>
      <c r="M32" s="6">
        <v>13</v>
      </c>
      <c r="N32" s="2" t="s">
        <v>233</v>
      </c>
      <c r="O32" s="10" t="s">
        <v>34</v>
      </c>
      <c r="P32" s="2" t="s">
        <v>34</v>
      </c>
      <c r="Q32" s="6">
        <v>1.26</v>
      </c>
      <c r="R32" s="3">
        <f>152.8/10</f>
        <v>15.280000000000001</v>
      </c>
      <c r="S32" s="3" t="s">
        <v>34</v>
      </c>
      <c r="T32" s="8" t="s">
        <v>34</v>
      </c>
      <c r="U32" s="3" t="s">
        <v>40</v>
      </c>
      <c r="V32" s="3" t="s">
        <v>150</v>
      </c>
      <c r="W32" s="3" t="s">
        <v>233</v>
      </c>
      <c r="X32" s="8">
        <f t="shared" si="5"/>
        <v>20.88776</v>
      </c>
      <c r="Y32" s="8">
        <v>0</v>
      </c>
      <c r="Z32" s="6" t="s">
        <v>34</v>
      </c>
      <c r="AA32" s="3" t="s">
        <v>34</v>
      </c>
      <c r="AB32" s="3" t="s">
        <v>34</v>
      </c>
      <c r="AC32" s="3" t="s">
        <v>34</v>
      </c>
      <c r="AD32" s="2" t="s">
        <v>34</v>
      </c>
      <c r="AE32" s="6" t="s">
        <v>234</v>
      </c>
      <c r="AF32" s="2" t="s">
        <v>53</v>
      </c>
      <c r="AG32" s="6">
        <v>26.9</v>
      </c>
      <c r="AH32" s="2" t="s">
        <v>233</v>
      </c>
      <c r="AI32" s="7" t="s">
        <v>235</v>
      </c>
    </row>
    <row r="33" spans="1:35" x14ac:dyDescent="0.3">
      <c r="A33" s="3" t="s">
        <v>143</v>
      </c>
      <c r="B33" s="4" t="s">
        <v>228</v>
      </c>
      <c r="C33" s="3" t="s">
        <v>229</v>
      </c>
      <c r="D33" s="5" t="s">
        <v>230</v>
      </c>
      <c r="E33" s="5" t="s">
        <v>231</v>
      </c>
      <c r="F33" s="3" t="str">
        <f t="shared" si="0"/>
        <v>Acanthurus bahianus</v>
      </c>
      <c r="G33" s="2" t="s">
        <v>672</v>
      </c>
      <c r="H33" s="6" t="s">
        <v>237</v>
      </c>
      <c r="I33" s="3">
        <f>-LN(0.94)</f>
        <v>6.1875403718087529E-2</v>
      </c>
      <c r="J33" s="3" t="s">
        <v>32</v>
      </c>
      <c r="K33" s="3" t="s">
        <v>33</v>
      </c>
      <c r="L33" s="3" t="s">
        <v>233</v>
      </c>
      <c r="M33" s="6">
        <v>32</v>
      </c>
      <c r="N33" s="2" t="s">
        <v>233</v>
      </c>
      <c r="O33" s="10" t="s">
        <v>34</v>
      </c>
      <c r="P33" s="2" t="s">
        <v>34</v>
      </c>
      <c r="Q33" s="6">
        <v>0.94</v>
      </c>
      <c r="R33" s="3">
        <f>167.8/10</f>
        <v>16.78</v>
      </c>
      <c r="S33" s="3" t="s">
        <v>34</v>
      </c>
      <c r="T33" s="8" t="s">
        <v>34</v>
      </c>
      <c r="U33" s="3" t="s">
        <v>40</v>
      </c>
      <c r="V33" s="3" t="s">
        <v>150</v>
      </c>
      <c r="W33" s="3" t="s">
        <v>233</v>
      </c>
      <c r="X33" s="8">
        <f t="shared" si="5"/>
        <v>22.938260000000003</v>
      </c>
      <c r="Y33" s="8">
        <v>0</v>
      </c>
      <c r="Z33" s="6" t="s">
        <v>34</v>
      </c>
      <c r="AA33" s="3" t="s">
        <v>34</v>
      </c>
      <c r="AB33" s="3" t="s">
        <v>34</v>
      </c>
      <c r="AC33" s="3" t="s">
        <v>34</v>
      </c>
      <c r="AD33" s="2" t="s">
        <v>34</v>
      </c>
      <c r="AE33" s="6" t="s">
        <v>234</v>
      </c>
      <c r="AF33" s="2" t="s">
        <v>53</v>
      </c>
      <c r="AG33" s="6">
        <v>22.9</v>
      </c>
      <c r="AH33" s="2" t="s">
        <v>233</v>
      </c>
      <c r="AI33" s="7" t="s">
        <v>235</v>
      </c>
    </row>
    <row r="34" spans="1:35" x14ac:dyDescent="0.3">
      <c r="A34" s="3" t="s">
        <v>143</v>
      </c>
      <c r="B34" s="4" t="s">
        <v>228</v>
      </c>
      <c r="C34" s="3" t="s">
        <v>229</v>
      </c>
      <c r="D34" s="5" t="s">
        <v>230</v>
      </c>
      <c r="E34" s="5" t="s">
        <v>231</v>
      </c>
      <c r="F34" s="3" t="str">
        <f t="shared" ref="F34:F64" si="6">CONCATENATE(D34, " ", E34)</f>
        <v>Acanthurus bahianus</v>
      </c>
      <c r="G34" s="2" t="s">
        <v>672</v>
      </c>
      <c r="H34" s="6" t="s">
        <v>238</v>
      </c>
      <c r="I34" s="3">
        <f>-LN(0.87)</f>
        <v>0.13926206733350766</v>
      </c>
      <c r="J34" s="3" t="s">
        <v>32</v>
      </c>
      <c r="K34" s="3" t="s">
        <v>33</v>
      </c>
      <c r="L34" s="3" t="s">
        <v>233</v>
      </c>
      <c r="M34" s="6">
        <v>21</v>
      </c>
      <c r="N34" s="2" t="s">
        <v>233</v>
      </c>
      <c r="O34" s="10" t="s">
        <v>34</v>
      </c>
      <c r="P34" s="2" t="s">
        <v>34</v>
      </c>
      <c r="Q34" s="6">
        <v>1.43</v>
      </c>
      <c r="R34" s="3">
        <f>182.8/10</f>
        <v>18.28</v>
      </c>
      <c r="S34" s="3" t="s">
        <v>34</v>
      </c>
      <c r="T34" s="8" t="s">
        <v>34</v>
      </c>
      <c r="U34" s="3" t="s">
        <v>40</v>
      </c>
      <c r="V34" s="3" t="s">
        <v>150</v>
      </c>
      <c r="W34" s="3" t="s">
        <v>233</v>
      </c>
      <c r="X34" s="8">
        <f t="shared" si="5"/>
        <v>24.988760000000003</v>
      </c>
      <c r="Y34" s="8">
        <v>0</v>
      </c>
      <c r="Z34" s="6" t="s">
        <v>34</v>
      </c>
      <c r="AA34" s="3" t="s">
        <v>34</v>
      </c>
      <c r="AB34" s="3" t="s">
        <v>34</v>
      </c>
      <c r="AC34" s="3" t="s">
        <v>34</v>
      </c>
      <c r="AD34" s="2" t="s">
        <v>34</v>
      </c>
      <c r="AE34" s="6" t="s">
        <v>234</v>
      </c>
      <c r="AF34" s="2" t="s">
        <v>53</v>
      </c>
      <c r="AG34" s="6">
        <v>24.3</v>
      </c>
      <c r="AH34" s="2" t="s">
        <v>233</v>
      </c>
      <c r="AI34" s="7" t="s">
        <v>235</v>
      </c>
    </row>
    <row r="35" spans="1:35" x14ac:dyDescent="0.3">
      <c r="A35" s="3" t="s">
        <v>143</v>
      </c>
      <c r="B35" s="4" t="s">
        <v>228</v>
      </c>
      <c r="C35" s="3" t="s">
        <v>229</v>
      </c>
      <c r="D35" s="5" t="s">
        <v>230</v>
      </c>
      <c r="E35" s="5" t="s">
        <v>231</v>
      </c>
      <c r="F35" s="3" t="str">
        <f t="shared" si="6"/>
        <v>Acanthurus bahianus</v>
      </c>
      <c r="G35" s="2" t="s">
        <v>672</v>
      </c>
      <c r="H35" s="6" t="s">
        <v>239</v>
      </c>
      <c r="I35" s="3">
        <f>-LN(0.7)</f>
        <v>0.35667494393873245</v>
      </c>
      <c r="J35" s="3" t="s">
        <v>32</v>
      </c>
      <c r="K35" s="3" t="s">
        <v>33</v>
      </c>
      <c r="L35" s="3" t="s">
        <v>233</v>
      </c>
      <c r="M35" s="6">
        <v>12</v>
      </c>
      <c r="N35" s="2" t="s">
        <v>233</v>
      </c>
      <c r="O35" s="10" t="s">
        <v>34</v>
      </c>
      <c r="P35" s="2" t="s">
        <v>34</v>
      </c>
      <c r="Q35" s="6">
        <v>1.43</v>
      </c>
      <c r="R35" s="3">
        <f>143.2/10</f>
        <v>14.319999999999999</v>
      </c>
      <c r="S35" s="3" t="s">
        <v>34</v>
      </c>
      <c r="T35" s="8" t="s">
        <v>34</v>
      </c>
      <c r="U35" s="3" t="s">
        <v>40</v>
      </c>
      <c r="V35" s="3" t="s">
        <v>150</v>
      </c>
      <c r="W35" s="3" t="s">
        <v>233</v>
      </c>
      <c r="X35" s="8">
        <f t="shared" si="5"/>
        <v>19.575439999999997</v>
      </c>
      <c r="Y35" s="8">
        <v>0</v>
      </c>
      <c r="Z35" s="6" t="s">
        <v>34</v>
      </c>
      <c r="AA35" s="3" t="s">
        <v>34</v>
      </c>
      <c r="AB35" s="3" t="s">
        <v>34</v>
      </c>
      <c r="AC35" s="3" t="s">
        <v>34</v>
      </c>
      <c r="AD35" s="2" t="s">
        <v>34</v>
      </c>
      <c r="AE35" s="6" t="s">
        <v>234</v>
      </c>
      <c r="AF35" s="2" t="s">
        <v>53</v>
      </c>
      <c r="AG35" s="6">
        <v>27.1</v>
      </c>
      <c r="AH35" s="2" t="s">
        <v>233</v>
      </c>
      <c r="AI35" s="7" t="s">
        <v>235</v>
      </c>
    </row>
    <row r="36" spans="1:35" x14ac:dyDescent="0.3">
      <c r="A36" s="3" t="s">
        <v>143</v>
      </c>
      <c r="B36" s="4" t="s">
        <v>228</v>
      </c>
      <c r="C36" s="3" t="s">
        <v>229</v>
      </c>
      <c r="D36" s="5" t="s">
        <v>230</v>
      </c>
      <c r="E36" s="5" t="s">
        <v>231</v>
      </c>
      <c r="F36" s="3" t="str">
        <f t="shared" si="6"/>
        <v>Acanthurus bahianus</v>
      </c>
      <c r="G36" s="2" t="s">
        <v>672</v>
      </c>
      <c r="H36" s="6" t="s">
        <v>240</v>
      </c>
      <c r="I36" s="3">
        <f>-LN(0.73)</f>
        <v>0.31471074483970024</v>
      </c>
      <c r="J36" s="3" t="s">
        <v>32</v>
      </c>
      <c r="K36" s="3" t="s">
        <v>33</v>
      </c>
      <c r="L36" s="3" t="s">
        <v>233</v>
      </c>
      <c r="M36" s="6">
        <v>12</v>
      </c>
      <c r="N36" s="2" t="s">
        <v>233</v>
      </c>
      <c r="O36" s="10" t="s">
        <v>34</v>
      </c>
      <c r="P36" s="2" t="s">
        <v>34</v>
      </c>
      <c r="Q36" s="6">
        <v>1.36</v>
      </c>
      <c r="R36" s="3">
        <f>134/10</f>
        <v>13.4</v>
      </c>
      <c r="S36" s="3" t="s">
        <v>34</v>
      </c>
      <c r="T36" s="8" t="s">
        <v>34</v>
      </c>
      <c r="U36" s="3" t="s">
        <v>40</v>
      </c>
      <c r="V36" s="3" t="s">
        <v>150</v>
      </c>
      <c r="W36" s="3" t="s">
        <v>233</v>
      </c>
      <c r="X36" s="8">
        <f t="shared" si="5"/>
        <v>18.317800000000002</v>
      </c>
      <c r="Y36" s="8">
        <v>0</v>
      </c>
      <c r="Z36" s="6" t="s">
        <v>34</v>
      </c>
      <c r="AA36" s="3" t="s">
        <v>34</v>
      </c>
      <c r="AB36" s="3" t="s">
        <v>34</v>
      </c>
      <c r="AC36" s="3" t="s">
        <v>34</v>
      </c>
      <c r="AD36" s="2" t="s">
        <v>34</v>
      </c>
      <c r="AE36" s="6" t="s">
        <v>234</v>
      </c>
      <c r="AF36" s="2" t="s">
        <v>53</v>
      </c>
      <c r="AG36" s="6">
        <v>27.1</v>
      </c>
      <c r="AH36" s="2" t="s">
        <v>233</v>
      </c>
      <c r="AI36" s="7" t="s">
        <v>235</v>
      </c>
    </row>
    <row r="37" spans="1:35" x14ac:dyDescent="0.3">
      <c r="A37" s="3" t="s">
        <v>143</v>
      </c>
      <c r="B37" s="4" t="s">
        <v>228</v>
      </c>
      <c r="C37" s="3" t="s">
        <v>229</v>
      </c>
      <c r="D37" s="5" t="s">
        <v>230</v>
      </c>
      <c r="E37" s="5" t="s">
        <v>231</v>
      </c>
      <c r="F37" s="3" t="str">
        <f t="shared" si="6"/>
        <v>Acanthurus bahianus</v>
      </c>
      <c r="G37" s="2" t="s">
        <v>672</v>
      </c>
      <c r="H37" s="6" t="s">
        <v>241</v>
      </c>
      <c r="I37" s="3">
        <f>-LN(0.95)</f>
        <v>5.1293294387550578E-2</v>
      </c>
      <c r="J37" s="3" t="s">
        <v>32</v>
      </c>
      <c r="K37" s="3" t="s">
        <v>33</v>
      </c>
      <c r="L37" s="3" t="s">
        <v>233</v>
      </c>
      <c r="M37" s="6">
        <v>31</v>
      </c>
      <c r="N37" s="2" t="s">
        <v>233</v>
      </c>
      <c r="O37" s="10" t="s">
        <v>34</v>
      </c>
      <c r="P37" s="2" t="s">
        <v>34</v>
      </c>
      <c r="Q37" s="6">
        <v>1.4</v>
      </c>
      <c r="R37" s="3">
        <f>188.4/10</f>
        <v>18.84</v>
      </c>
      <c r="S37" s="3" t="s">
        <v>34</v>
      </c>
      <c r="T37" s="8" t="s">
        <v>34</v>
      </c>
      <c r="U37" s="3" t="s">
        <v>40</v>
      </c>
      <c r="V37" s="3" t="s">
        <v>150</v>
      </c>
      <c r="W37" s="3" t="s">
        <v>233</v>
      </c>
      <c r="X37" s="8">
        <f t="shared" si="5"/>
        <v>25.754280000000001</v>
      </c>
      <c r="Y37" s="8">
        <v>0</v>
      </c>
      <c r="Z37" s="6" t="s">
        <v>34</v>
      </c>
      <c r="AA37" s="3" t="s">
        <v>34</v>
      </c>
      <c r="AB37" s="3" t="s">
        <v>34</v>
      </c>
      <c r="AC37" s="3" t="s">
        <v>34</v>
      </c>
      <c r="AD37" s="2" t="s">
        <v>34</v>
      </c>
      <c r="AE37" s="6" t="s">
        <v>234</v>
      </c>
      <c r="AF37" s="2" t="s">
        <v>53</v>
      </c>
      <c r="AG37" s="6">
        <v>22.6</v>
      </c>
      <c r="AH37" s="2" t="s">
        <v>233</v>
      </c>
      <c r="AI37" s="7" t="s">
        <v>235</v>
      </c>
    </row>
    <row r="38" spans="1:35" x14ac:dyDescent="0.3">
      <c r="A38" s="3" t="s">
        <v>143</v>
      </c>
      <c r="B38" s="4" t="s">
        <v>228</v>
      </c>
      <c r="C38" s="3" t="s">
        <v>229</v>
      </c>
      <c r="D38" s="5" t="s">
        <v>230</v>
      </c>
      <c r="E38" s="5" t="s">
        <v>242</v>
      </c>
      <c r="F38" s="3" t="str">
        <f t="shared" si="6"/>
        <v>Acanthurus nigrofuscus</v>
      </c>
      <c r="G38" s="2" t="s">
        <v>673</v>
      </c>
      <c r="H38" s="6" t="s">
        <v>243</v>
      </c>
      <c r="I38" s="3">
        <f>AVERAGE(0.26, 0.07, 0.15, 0.19, 0.2, 0.18)</f>
        <v>0.17499999999999996</v>
      </c>
      <c r="J38" s="3" t="s">
        <v>32</v>
      </c>
      <c r="K38" s="3" t="s">
        <v>33</v>
      </c>
      <c r="L38" s="3" t="s">
        <v>244</v>
      </c>
      <c r="M38" s="6">
        <f>AVERAGE(21, 25, 19, 18, 15, 20)</f>
        <v>19.666666666666668</v>
      </c>
      <c r="N38" s="2" t="s">
        <v>244</v>
      </c>
      <c r="O38" s="10">
        <v>2</v>
      </c>
      <c r="P38" s="2" t="s">
        <v>244</v>
      </c>
      <c r="Q38" s="6">
        <f>AVERAGE(0.38, 1.72, 0.45, 0.19, 0.16, 0.51)</f>
        <v>0.56833333333333336</v>
      </c>
      <c r="R38" s="3">
        <f>AVERAGE(16.1, 16.6, 15.8, 15.6, 14.4, 12.7)</f>
        <v>15.200000000000001</v>
      </c>
      <c r="S38" s="3" t="s">
        <v>34</v>
      </c>
      <c r="T38" s="3" t="s">
        <v>34</v>
      </c>
      <c r="U38" s="3" t="s">
        <v>35</v>
      </c>
      <c r="V38" s="3" t="s">
        <v>50</v>
      </c>
      <c r="W38" s="3" t="s">
        <v>244</v>
      </c>
      <c r="X38" s="8">
        <f>1.2820625*R38</f>
        <v>19.487350000000003</v>
      </c>
      <c r="Y38" s="8">
        <v>0</v>
      </c>
      <c r="Z38" s="6">
        <f>AVERAGE(10, 11, 13, 14)</f>
        <v>12</v>
      </c>
      <c r="AA38" s="3" t="s">
        <v>50</v>
      </c>
      <c r="AB38" s="3" t="s">
        <v>35</v>
      </c>
      <c r="AC38" s="3" t="s">
        <v>244</v>
      </c>
      <c r="AD38" s="9">
        <v>15.38475</v>
      </c>
      <c r="AE38" s="6" t="s">
        <v>245</v>
      </c>
      <c r="AF38" s="2" t="s">
        <v>53</v>
      </c>
      <c r="AG38" s="6">
        <v>25.5</v>
      </c>
      <c r="AH38" s="2" t="s">
        <v>638</v>
      </c>
      <c r="AI38" s="7" t="s">
        <v>841</v>
      </c>
    </row>
    <row r="39" spans="1:35" x14ac:dyDescent="0.3">
      <c r="A39" s="3" t="s">
        <v>143</v>
      </c>
      <c r="B39" s="4" t="s">
        <v>228</v>
      </c>
      <c r="C39" s="3" t="s">
        <v>612</v>
      </c>
      <c r="D39" s="3" t="s">
        <v>613</v>
      </c>
      <c r="E39" s="3" t="s">
        <v>614</v>
      </c>
      <c r="F39" s="3" t="str">
        <f t="shared" si="6"/>
        <v>Ammodytes marinus</v>
      </c>
      <c r="G39" s="2" t="s">
        <v>615</v>
      </c>
      <c r="H39" s="6" t="s">
        <v>616</v>
      </c>
      <c r="I39" s="3">
        <f>AVERAGE(0.581749049429658, 0.673003802281368, 1.72243346007604, 0.832699619771863)</f>
        <v>0.95247148288973227</v>
      </c>
      <c r="J39" s="3" t="s">
        <v>32</v>
      </c>
      <c r="K39" s="3" t="s">
        <v>314</v>
      </c>
      <c r="L39" s="3" t="s">
        <v>617</v>
      </c>
      <c r="M39" s="6">
        <v>6</v>
      </c>
      <c r="N39" s="2" t="s">
        <v>617</v>
      </c>
      <c r="O39" s="10">
        <v>1.5</v>
      </c>
      <c r="P39" s="2" t="s">
        <v>619</v>
      </c>
      <c r="Q39" s="13">
        <v>0.36</v>
      </c>
      <c r="R39" s="8">
        <v>18.5</v>
      </c>
      <c r="S39" s="8" t="s">
        <v>34</v>
      </c>
      <c r="T39" s="3" t="s">
        <v>34</v>
      </c>
      <c r="U39" s="3" t="s">
        <v>34</v>
      </c>
      <c r="V39" s="3" t="s">
        <v>34</v>
      </c>
      <c r="W39" s="3" t="s">
        <v>618</v>
      </c>
      <c r="X39" s="8">
        <f>R39</f>
        <v>18.5</v>
      </c>
      <c r="Y39" s="3">
        <v>0</v>
      </c>
      <c r="Z39" s="6">
        <f>AVERAGE(110, 113, 116, 119)</f>
        <v>114.5</v>
      </c>
      <c r="AA39" s="3" t="s">
        <v>36</v>
      </c>
      <c r="AB39" s="3" t="s">
        <v>40</v>
      </c>
      <c r="AC39" s="3" t="s">
        <v>619</v>
      </c>
      <c r="AD39" s="9">
        <v>11.45</v>
      </c>
      <c r="AE39" s="6" t="s">
        <v>34</v>
      </c>
      <c r="AF39" s="2" t="s">
        <v>34</v>
      </c>
      <c r="AG39" s="6">
        <v>7</v>
      </c>
      <c r="AH39" s="2" t="s">
        <v>638</v>
      </c>
      <c r="AI39" s="7" t="s">
        <v>857</v>
      </c>
    </row>
    <row r="40" spans="1:35" x14ac:dyDescent="0.3">
      <c r="A40" s="3" t="s">
        <v>143</v>
      </c>
      <c r="B40" s="4" t="s">
        <v>228</v>
      </c>
      <c r="C40" s="3" t="s">
        <v>246</v>
      </c>
      <c r="D40" s="5" t="s">
        <v>247</v>
      </c>
      <c r="E40" s="5" t="s">
        <v>248</v>
      </c>
      <c r="F40" s="3" t="str">
        <f t="shared" si="6"/>
        <v>Epigonus telescopus</v>
      </c>
      <c r="G40" s="2" t="s">
        <v>674</v>
      </c>
      <c r="H40" s="6" t="s">
        <v>721</v>
      </c>
      <c r="I40" s="3">
        <v>3.4000000000000002E-2</v>
      </c>
      <c r="J40" s="3" t="s">
        <v>32</v>
      </c>
      <c r="K40" s="3" t="s">
        <v>210</v>
      </c>
      <c r="L40" s="3" t="s">
        <v>249</v>
      </c>
      <c r="M40" s="6">
        <v>104</v>
      </c>
      <c r="N40" s="2" t="s">
        <v>249</v>
      </c>
      <c r="O40" s="10">
        <v>35.450000000000003</v>
      </c>
      <c r="P40" s="2" t="s">
        <v>249</v>
      </c>
      <c r="Q40" s="6">
        <v>3.5000000000000003E-2</v>
      </c>
      <c r="R40" s="3">
        <v>70.8</v>
      </c>
      <c r="S40" s="3">
        <v>-6.32</v>
      </c>
      <c r="T40" s="3">
        <f t="shared" ref="T40:T54" si="7">R40*(1-EXP(Q40*S40))</f>
        <v>14.049810208491945</v>
      </c>
      <c r="U40" s="3" t="s">
        <v>35</v>
      </c>
      <c r="V40" s="3" t="s">
        <v>50</v>
      </c>
      <c r="W40" s="3" t="s">
        <v>249</v>
      </c>
      <c r="X40" s="8">
        <f>1.096*R40</f>
        <v>77.596800000000002</v>
      </c>
      <c r="Y40" s="8">
        <f>1.096*T40</f>
        <v>15.398591988507173</v>
      </c>
      <c r="Z40" s="6">
        <f>AVERAGE(52.4, 56)</f>
        <v>54.2</v>
      </c>
      <c r="AA40" s="3" t="s">
        <v>50</v>
      </c>
      <c r="AB40" s="3" t="s">
        <v>35</v>
      </c>
      <c r="AC40" s="3" t="s">
        <v>250</v>
      </c>
      <c r="AD40" s="9">
        <v>59.403200000000005</v>
      </c>
      <c r="AE40" s="6" t="s">
        <v>251</v>
      </c>
      <c r="AF40" s="2" t="s">
        <v>53</v>
      </c>
      <c r="AG40" s="6">
        <v>8</v>
      </c>
      <c r="AH40" s="2" t="s">
        <v>638</v>
      </c>
    </row>
    <row r="41" spans="1:35" x14ac:dyDescent="0.3">
      <c r="A41" s="3" t="s">
        <v>143</v>
      </c>
      <c r="B41" s="4" t="s">
        <v>228</v>
      </c>
      <c r="C41" s="3" t="s">
        <v>252</v>
      </c>
      <c r="D41" s="5" t="s">
        <v>253</v>
      </c>
      <c r="E41" s="5" t="s">
        <v>254</v>
      </c>
      <c r="F41" s="3" t="str">
        <f t="shared" si="6"/>
        <v>Lichia amia</v>
      </c>
      <c r="G41" s="2" t="s">
        <v>675</v>
      </c>
      <c r="H41" s="6" t="s">
        <v>722</v>
      </c>
      <c r="I41" s="3">
        <v>0.41</v>
      </c>
      <c r="J41" s="3" t="s">
        <v>32</v>
      </c>
      <c r="K41" s="3" t="s">
        <v>33</v>
      </c>
      <c r="L41" s="3" t="s">
        <v>255</v>
      </c>
      <c r="M41" s="6">
        <f>AVERAGE(11, 5)</f>
        <v>8</v>
      </c>
      <c r="N41" s="2" t="s">
        <v>255</v>
      </c>
      <c r="O41" s="10">
        <v>2.4</v>
      </c>
      <c r="P41" s="2" t="s">
        <v>255</v>
      </c>
      <c r="Q41" s="6">
        <v>0.22</v>
      </c>
      <c r="R41" s="3">
        <f>1137/10</f>
        <v>113.7</v>
      </c>
      <c r="S41" s="3">
        <v>-1.58</v>
      </c>
      <c r="T41" s="3">
        <f t="shared" si="7"/>
        <v>33.384437974002445</v>
      </c>
      <c r="U41" s="3" t="s">
        <v>40</v>
      </c>
      <c r="V41" s="3" t="s">
        <v>50</v>
      </c>
      <c r="W41" s="3" t="s">
        <v>255</v>
      </c>
      <c r="X41" s="8">
        <f>(1.18 *R41- 1.28)</f>
        <v>132.886</v>
      </c>
      <c r="Y41" s="8">
        <f>(1.18 *T41- 1.28)</f>
        <v>38.113636809322884</v>
      </c>
      <c r="Z41" s="6">
        <v>623</v>
      </c>
      <c r="AA41" s="3" t="s">
        <v>50</v>
      </c>
      <c r="AB41" s="3" t="s">
        <v>40</v>
      </c>
      <c r="AC41" s="3" t="s">
        <v>255</v>
      </c>
      <c r="AD41" s="9">
        <v>73.385999999999996</v>
      </c>
      <c r="AE41" s="6" t="s">
        <v>256</v>
      </c>
      <c r="AF41" s="2" t="s">
        <v>255</v>
      </c>
      <c r="AG41" s="6">
        <v>24.73</v>
      </c>
      <c r="AH41" s="2" t="s">
        <v>638</v>
      </c>
    </row>
    <row r="42" spans="1:35" x14ac:dyDescent="0.3">
      <c r="A42" s="3" t="s">
        <v>143</v>
      </c>
      <c r="B42" s="4" t="s">
        <v>228</v>
      </c>
      <c r="C42" s="3" t="s">
        <v>252</v>
      </c>
      <c r="D42" s="5" t="s">
        <v>257</v>
      </c>
      <c r="E42" s="5" t="s">
        <v>258</v>
      </c>
      <c r="F42" s="3" t="str">
        <f t="shared" si="6"/>
        <v>Trachurus declivis</v>
      </c>
      <c r="G42" s="2" t="s">
        <v>676</v>
      </c>
      <c r="H42" s="6" t="s">
        <v>259</v>
      </c>
      <c r="I42" s="3">
        <v>0.18</v>
      </c>
      <c r="J42" s="3" t="s">
        <v>32</v>
      </c>
      <c r="K42" s="3" t="s">
        <v>33</v>
      </c>
      <c r="L42" s="3" t="s">
        <v>260</v>
      </c>
      <c r="M42" s="6">
        <v>28</v>
      </c>
      <c r="N42" s="2" t="s">
        <v>260</v>
      </c>
      <c r="O42" s="10">
        <v>3</v>
      </c>
      <c r="P42" s="2" t="s">
        <v>260</v>
      </c>
      <c r="Q42" s="6">
        <v>0.28000000000000003</v>
      </c>
      <c r="R42" s="3">
        <v>46</v>
      </c>
      <c r="S42" s="3">
        <v>-0.4</v>
      </c>
      <c r="T42" s="3">
        <f t="shared" si="7"/>
        <v>4.8739641549835682</v>
      </c>
      <c r="U42" s="3" t="s">
        <v>35</v>
      </c>
      <c r="V42" s="3" t="s">
        <v>50</v>
      </c>
      <c r="W42" s="3" t="s">
        <v>260</v>
      </c>
      <c r="X42" s="8">
        <f>1.087*R42</f>
        <v>50.001999999999995</v>
      </c>
      <c r="Y42" s="8">
        <f>1.087*T42</f>
        <v>5.2979990364671385</v>
      </c>
      <c r="Z42" s="6" t="s">
        <v>34</v>
      </c>
      <c r="AA42" s="3" t="s">
        <v>34</v>
      </c>
      <c r="AB42" s="3" t="s">
        <v>34</v>
      </c>
      <c r="AC42" s="3" t="s">
        <v>641</v>
      </c>
      <c r="AD42" s="2">
        <v>30.702812344659144</v>
      </c>
      <c r="AE42" s="6" t="s">
        <v>261</v>
      </c>
      <c r="AF42" s="2" t="s">
        <v>53</v>
      </c>
      <c r="AG42" s="6">
        <v>12</v>
      </c>
      <c r="AH42" s="2" t="s">
        <v>638</v>
      </c>
    </row>
    <row r="43" spans="1:35" x14ac:dyDescent="0.3">
      <c r="A43" s="3" t="s">
        <v>143</v>
      </c>
      <c r="B43" s="4" t="s">
        <v>228</v>
      </c>
      <c r="C43" s="3" t="s">
        <v>252</v>
      </c>
      <c r="D43" s="5" t="s">
        <v>257</v>
      </c>
      <c r="E43" s="5" t="s">
        <v>258</v>
      </c>
      <c r="F43" s="3" t="str">
        <f t="shared" si="6"/>
        <v>Trachurus declivis</v>
      </c>
      <c r="G43" s="2" t="s">
        <v>676</v>
      </c>
      <c r="H43" s="6" t="s">
        <v>262</v>
      </c>
      <c r="I43" s="3">
        <v>0.63</v>
      </c>
      <c r="J43" s="3" t="s">
        <v>32</v>
      </c>
      <c r="K43" s="3" t="s">
        <v>33</v>
      </c>
      <c r="L43" s="3" t="s">
        <v>263</v>
      </c>
      <c r="M43" s="6">
        <v>15</v>
      </c>
      <c r="N43" s="2" t="s">
        <v>263</v>
      </c>
      <c r="O43" s="10">
        <v>3.4901319658146353</v>
      </c>
      <c r="P43" s="2" t="s">
        <v>34</v>
      </c>
      <c r="Q43" s="6">
        <v>0.2</v>
      </c>
      <c r="R43" s="3">
        <v>46.4</v>
      </c>
      <c r="S43" s="3">
        <v>-0.87</v>
      </c>
      <c r="T43" s="3">
        <f t="shared" si="7"/>
        <v>7.4102239486487829</v>
      </c>
      <c r="U43" s="3" t="s">
        <v>35</v>
      </c>
      <c r="V43" s="3" t="s">
        <v>50</v>
      </c>
      <c r="W43" s="3" t="s">
        <v>263</v>
      </c>
      <c r="X43" s="8">
        <f>1.087*R43</f>
        <v>50.436799999999998</v>
      </c>
      <c r="Y43" s="8">
        <f>1.087*T43</f>
        <v>8.0549134321812268</v>
      </c>
      <c r="Z43" s="6">
        <v>27</v>
      </c>
      <c r="AA43" s="3" t="s">
        <v>50</v>
      </c>
      <c r="AB43" s="3" t="s">
        <v>35</v>
      </c>
      <c r="AC43" s="3" t="s">
        <v>264</v>
      </c>
      <c r="AD43" s="9">
        <v>29.349</v>
      </c>
      <c r="AE43" s="6" t="s">
        <v>261</v>
      </c>
      <c r="AF43" s="2" t="s">
        <v>53</v>
      </c>
      <c r="AG43" s="6">
        <v>12</v>
      </c>
      <c r="AH43" s="2" t="s">
        <v>638</v>
      </c>
    </row>
    <row r="44" spans="1:35" x14ac:dyDescent="0.3">
      <c r="A44" s="3" t="s">
        <v>143</v>
      </c>
      <c r="B44" s="4" t="s">
        <v>228</v>
      </c>
      <c r="C44" s="3" t="s">
        <v>252</v>
      </c>
      <c r="D44" s="5" t="s">
        <v>257</v>
      </c>
      <c r="E44" s="5" t="s">
        <v>184</v>
      </c>
      <c r="F44" s="3" t="str">
        <f t="shared" si="6"/>
        <v>Trachurus japonicus</v>
      </c>
      <c r="G44" s="2" t="s">
        <v>265</v>
      </c>
      <c r="H44" s="6" t="s">
        <v>266</v>
      </c>
      <c r="I44" s="3">
        <v>0.99</v>
      </c>
      <c r="J44" s="3" t="s">
        <v>32</v>
      </c>
      <c r="K44" s="3" t="s">
        <v>168</v>
      </c>
      <c r="L44" s="3" t="s">
        <v>267</v>
      </c>
      <c r="M44" s="6">
        <v>5</v>
      </c>
      <c r="N44" s="2" t="s">
        <v>269</v>
      </c>
      <c r="O44" s="10">
        <v>2</v>
      </c>
      <c r="P44" s="2" t="s">
        <v>268</v>
      </c>
      <c r="Q44" s="6">
        <v>0.73199999999999998</v>
      </c>
      <c r="R44" s="3">
        <f>354/10</f>
        <v>35.4</v>
      </c>
      <c r="S44" s="3">
        <v>-7.0999999999999994E-2</v>
      </c>
      <c r="T44" s="3">
        <f t="shared" si="7"/>
        <v>1.7928171258151251</v>
      </c>
      <c r="U44" s="3" t="s">
        <v>40</v>
      </c>
      <c r="V44" s="3" t="s">
        <v>50</v>
      </c>
      <c r="W44" s="3" t="s">
        <v>269</v>
      </c>
      <c r="X44" s="8">
        <f>1.133*R44</f>
        <v>40.108199999999997</v>
      </c>
      <c r="Y44" s="8">
        <f>1.133*T44/10</f>
        <v>0.20312618035485369</v>
      </c>
      <c r="Z44" s="6" t="s">
        <v>34</v>
      </c>
      <c r="AA44" s="3" t="s">
        <v>34</v>
      </c>
      <c r="AB44" s="3" t="s">
        <v>34</v>
      </c>
      <c r="AC44" s="3" t="s">
        <v>641</v>
      </c>
      <c r="AD44" s="2">
        <v>30.877789895564401</v>
      </c>
      <c r="AE44" s="6" t="s">
        <v>270</v>
      </c>
      <c r="AF44" s="2" t="s">
        <v>53</v>
      </c>
      <c r="AG44" s="6">
        <v>20</v>
      </c>
      <c r="AH44" s="2" t="s">
        <v>638</v>
      </c>
      <c r="AI44" s="7" t="s">
        <v>646</v>
      </c>
    </row>
    <row r="45" spans="1:35" x14ac:dyDescent="0.3">
      <c r="A45" s="3" t="s">
        <v>143</v>
      </c>
      <c r="B45" s="4" t="s">
        <v>228</v>
      </c>
      <c r="C45" s="3" t="s">
        <v>252</v>
      </c>
      <c r="D45" s="5" t="s">
        <v>257</v>
      </c>
      <c r="E45" s="5" t="s">
        <v>271</v>
      </c>
      <c r="F45" s="3" t="str">
        <f t="shared" si="6"/>
        <v>Trachurus novaezelandiae</v>
      </c>
      <c r="G45" s="2" t="s">
        <v>645</v>
      </c>
      <c r="H45" s="6" t="s">
        <v>259</v>
      </c>
      <c r="I45" s="3">
        <f>AVERAGE(0.2, 0.17, 0.18)</f>
        <v>0.18333333333333335</v>
      </c>
      <c r="J45" s="3" t="s">
        <v>32</v>
      </c>
      <c r="K45" s="3" t="s">
        <v>33</v>
      </c>
      <c r="L45" s="3" t="s">
        <v>260</v>
      </c>
      <c r="M45" s="6">
        <v>22</v>
      </c>
      <c r="N45" s="2" t="s">
        <v>260</v>
      </c>
      <c r="O45" s="10">
        <v>4</v>
      </c>
      <c r="P45" s="2" t="s">
        <v>260</v>
      </c>
      <c r="Q45" s="6">
        <v>0.3</v>
      </c>
      <c r="R45" s="3">
        <v>36</v>
      </c>
      <c r="S45" s="3">
        <v>-0.65</v>
      </c>
      <c r="T45" s="3">
        <f t="shared" si="7"/>
        <v>6.3779523099833373</v>
      </c>
      <c r="U45" s="3" t="s">
        <v>35</v>
      </c>
      <c r="V45" s="3" t="s">
        <v>50</v>
      </c>
      <c r="W45" s="3" t="s">
        <v>260</v>
      </c>
      <c r="X45" s="8">
        <f>1.121*R45</f>
        <v>40.356000000000002</v>
      </c>
      <c r="Y45" s="8">
        <f>1.121*T45</f>
        <v>7.1496845394913207</v>
      </c>
      <c r="Z45" s="6" t="s">
        <v>34</v>
      </c>
      <c r="AA45" s="3" t="s">
        <v>34</v>
      </c>
      <c r="AB45" s="3" t="s">
        <v>34</v>
      </c>
      <c r="AC45" s="3" t="s">
        <v>641</v>
      </c>
      <c r="AD45" s="2">
        <v>30.354449984364116</v>
      </c>
      <c r="AE45" s="6" t="s">
        <v>272</v>
      </c>
      <c r="AF45" s="2" t="s">
        <v>53</v>
      </c>
      <c r="AG45" s="6">
        <v>12</v>
      </c>
      <c r="AH45" s="2" t="s">
        <v>638</v>
      </c>
    </row>
    <row r="46" spans="1:35" x14ac:dyDescent="0.3">
      <c r="A46" s="3" t="s">
        <v>143</v>
      </c>
      <c r="B46" s="4" t="s">
        <v>228</v>
      </c>
      <c r="C46" s="3" t="s">
        <v>273</v>
      </c>
      <c r="D46" s="5" t="s">
        <v>274</v>
      </c>
      <c r="E46" s="5" t="s">
        <v>275</v>
      </c>
      <c r="F46" s="3" t="str">
        <f t="shared" si="6"/>
        <v>Champsocephalus gunnari</v>
      </c>
      <c r="G46" s="2" t="s">
        <v>677</v>
      </c>
      <c r="H46" s="6" t="s">
        <v>276</v>
      </c>
      <c r="I46" s="3">
        <f>AVERAGE(0.58, 0.6, 0.51)</f>
        <v>0.56333333333333335</v>
      </c>
      <c r="J46" s="3" t="s">
        <v>32</v>
      </c>
      <c r="K46" s="3" t="s">
        <v>33</v>
      </c>
      <c r="L46" s="3" t="s">
        <v>277</v>
      </c>
      <c r="M46" s="6">
        <v>8</v>
      </c>
      <c r="N46" s="2" t="s">
        <v>277</v>
      </c>
      <c r="O46" s="10">
        <v>2.7922341117808611</v>
      </c>
      <c r="P46" s="2" t="s">
        <v>34</v>
      </c>
      <c r="Q46" s="6">
        <v>0.13400000000000001</v>
      </c>
      <c r="R46" s="3">
        <v>68.900000000000006</v>
      </c>
      <c r="S46" s="3">
        <v>-0.27979999999999999</v>
      </c>
      <c r="T46" s="3">
        <f t="shared" si="7"/>
        <v>2.5354533416524472</v>
      </c>
      <c r="U46" s="3" t="s">
        <v>35</v>
      </c>
      <c r="V46" s="3" t="s">
        <v>36</v>
      </c>
      <c r="W46" s="3" t="s">
        <v>277</v>
      </c>
      <c r="X46" s="8">
        <f>R46</f>
        <v>68.900000000000006</v>
      </c>
      <c r="Y46" s="8">
        <f>T46</f>
        <v>2.5354533416524472</v>
      </c>
      <c r="Z46" s="6">
        <f>AVERAGE(21, 26, 21, 25)</f>
        <v>23.25</v>
      </c>
      <c r="AA46" s="3" t="s">
        <v>36</v>
      </c>
      <c r="AB46" s="3" t="s">
        <v>35</v>
      </c>
      <c r="AC46" s="3" t="s">
        <v>856</v>
      </c>
      <c r="AD46" s="9">
        <v>23.25</v>
      </c>
      <c r="AE46" s="6" t="s">
        <v>34</v>
      </c>
      <c r="AF46" s="2" t="s">
        <v>34</v>
      </c>
      <c r="AG46" s="6">
        <v>6</v>
      </c>
      <c r="AH46" s="2" t="s">
        <v>638</v>
      </c>
    </row>
    <row r="47" spans="1:35" x14ac:dyDescent="0.3">
      <c r="A47" s="3" t="s">
        <v>143</v>
      </c>
      <c r="B47" s="4" t="s">
        <v>228</v>
      </c>
      <c r="C47" s="3" t="s">
        <v>278</v>
      </c>
      <c r="D47" s="5" t="s">
        <v>279</v>
      </c>
      <c r="E47" s="5" t="s">
        <v>280</v>
      </c>
      <c r="F47" s="3" t="str">
        <f t="shared" si="6"/>
        <v>Nemadactylus macropterus</v>
      </c>
      <c r="G47" s="2" t="s">
        <v>678</v>
      </c>
      <c r="H47" s="6" t="s">
        <v>281</v>
      </c>
      <c r="I47" s="3">
        <v>0.08</v>
      </c>
      <c r="J47" s="3" t="s">
        <v>32</v>
      </c>
      <c r="K47" s="3" t="s">
        <v>33</v>
      </c>
      <c r="L47" s="3" t="s">
        <v>282</v>
      </c>
      <c r="M47" s="6">
        <f>AVERAGE(41, 39)</f>
        <v>40</v>
      </c>
      <c r="N47" s="2" t="s">
        <v>282</v>
      </c>
      <c r="O47" s="10">
        <v>5</v>
      </c>
      <c r="P47" s="2" t="s">
        <v>283</v>
      </c>
      <c r="Q47" s="6">
        <v>0.18779999999999999</v>
      </c>
      <c r="R47" s="3">
        <v>44.62</v>
      </c>
      <c r="S47" s="3">
        <v>-1.823</v>
      </c>
      <c r="T47" s="3">
        <f t="shared" si="7"/>
        <v>12.935652506918297</v>
      </c>
      <c r="U47" s="3" t="s">
        <v>35</v>
      </c>
      <c r="V47" s="3" t="s">
        <v>50</v>
      </c>
      <c r="W47" s="3" t="s">
        <v>284</v>
      </c>
      <c r="X47" s="8">
        <f>1.122*R47</f>
        <v>50.063639999999999</v>
      </c>
      <c r="Y47" s="8">
        <f>1.122*T47</f>
        <v>14.513802112762331</v>
      </c>
      <c r="Z47" s="6" t="s">
        <v>34</v>
      </c>
      <c r="AA47" s="3" t="s">
        <v>34</v>
      </c>
      <c r="AB47" s="3" t="s">
        <v>34</v>
      </c>
      <c r="AC47" s="3" t="s">
        <v>641</v>
      </c>
      <c r="AD47" s="2">
        <v>36.16299007684762</v>
      </c>
      <c r="AE47" s="6" t="s">
        <v>285</v>
      </c>
      <c r="AF47" s="2" t="s">
        <v>53</v>
      </c>
      <c r="AG47" s="6">
        <v>14</v>
      </c>
      <c r="AH47" s="2" t="s">
        <v>638</v>
      </c>
    </row>
    <row r="48" spans="1:35" x14ac:dyDescent="0.3">
      <c r="A48" s="3" t="s">
        <v>143</v>
      </c>
      <c r="B48" s="4" t="s">
        <v>228</v>
      </c>
      <c r="C48" s="3" t="s">
        <v>286</v>
      </c>
      <c r="D48" s="5" t="s">
        <v>287</v>
      </c>
      <c r="E48" s="5" t="s">
        <v>288</v>
      </c>
      <c r="F48" s="3" t="str">
        <f t="shared" si="6"/>
        <v>Glaucosoma buergeri</v>
      </c>
      <c r="G48" s="2" t="s">
        <v>679</v>
      </c>
      <c r="H48" s="6" t="s">
        <v>289</v>
      </c>
      <c r="I48" s="3">
        <v>0.14000000000000001</v>
      </c>
      <c r="J48" s="3" t="s">
        <v>32</v>
      </c>
      <c r="K48" s="3" t="s">
        <v>33</v>
      </c>
      <c r="L48" s="3" t="s">
        <v>290</v>
      </c>
      <c r="M48" s="6">
        <f>AVERAGE(22, 26)</f>
        <v>24</v>
      </c>
      <c r="N48" s="2" t="s">
        <v>290</v>
      </c>
      <c r="O48" s="10" t="s">
        <v>34</v>
      </c>
      <c r="P48" s="2" t="s">
        <v>34</v>
      </c>
      <c r="Q48" s="6">
        <v>0.13900000000000001</v>
      </c>
      <c r="R48" s="3">
        <v>512.70000000000005</v>
      </c>
      <c r="S48" s="3">
        <v>-0.89</v>
      </c>
      <c r="T48" s="3">
        <f t="shared" si="7"/>
        <v>59.659792967873649</v>
      </c>
      <c r="U48" s="3" t="s">
        <v>40</v>
      </c>
      <c r="V48" s="3" t="s">
        <v>36</v>
      </c>
      <c r="W48" s="3" t="s">
        <v>290</v>
      </c>
      <c r="X48" s="8">
        <f t="shared" ref="X48:X56" si="8">R48/10</f>
        <v>51.27</v>
      </c>
      <c r="Y48" s="8">
        <f t="shared" ref="Y48:Y56" si="9">T48/10</f>
        <v>5.9659792967873653</v>
      </c>
      <c r="Z48" s="6" t="s">
        <v>34</v>
      </c>
      <c r="AA48" s="3" t="s">
        <v>34</v>
      </c>
      <c r="AB48" s="3" t="s">
        <v>34</v>
      </c>
      <c r="AC48" s="3" t="s">
        <v>34</v>
      </c>
      <c r="AD48" s="2" t="s">
        <v>34</v>
      </c>
      <c r="AE48" s="6" t="s">
        <v>291</v>
      </c>
      <c r="AF48" s="2" t="s">
        <v>290</v>
      </c>
      <c r="AG48" s="6">
        <v>26.9</v>
      </c>
      <c r="AH48" s="2" t="s">
        <v>638</v>
      </c>
      <c r="AI48" s="7" t="s">
        <v>292</v>
      </c>
    </row>
    <row r="49" spans="1:35" x14ac:dyDescent="0.3">
      <c r="A49" s="3" t="s">
        <v>143</v>
      </c>
      <c r="B49" s="4" t="s">
        <v>228</v>
      </c>
      <c r="C49" s="3" t="s">
        <v>293</v>
      </c>
      <c r="D49" s="5" t="s">
        <v>294</v>
      </c>
      <c r="E49" s="5" t="s">
        <v>295</v>
      </c>
      <c r="F49" s="3" t="str">
        <f t="shared" si="6"/>
        <v>Amblygobius bynoensis</v>
      </c>
      <c r="G49" s="2" t="s">
        <v>296</v>
      </c>
      <c r="H49" s="6" t="s">
        <v>297</v>
      </c>
      <c r="I49" s="3">
        <f>0.3283*12</f>
        <v>3.9395999999999995</v>
      </c>
      <c r="J49" s="3" t="s">
        <v>38</v>
      </c>
      <c r="K49" s="3" t="s">
        <v>33</v>
      </c>
      <c r="L49" s="3" t="s">
        <v>298</v>
      </c>
      <c r="M49" s="6">
        <f>349/365</f>
        <v>0.95616438356164379</v>
      </c>
      <c r="N49" s="2" t="s">
        <v>299</v>
      </c>
      <c r="O49" s="6">
        <v>0.45</v>
      </c>
      <c r="P49" s="2" t="s">
        <v>298</v>
      </c>
      <c r="Q49" s="6">
        <f>0.004*365</f>
        <v>1.46</v>
      </c>
      <c r="R49" s="3">
        <v>117.1</v>
      </c>
      <c r="S49" s="3">
        <f>7.3/365</f>
        <v>0.02</v>
      </c>
      <c r="T49" s="3">
        <f t="shared" si="7"/>
        <v>-3.469731548113558</v>
      </c>
      <c r="U49" s="3" t="s">
        <v>40</v>
      </c>
      <c r="V49" s="3" t="s">
        <v>36</v>
      </c>
      <c r="W49" s="3" t="s">
        <v>299</v>
      </c>
      <c r="X49" s="8">
        <f t="shared" si="8"/>
        <v>11.709999999999999</v>
      </c>
      <c r="Y49" s="8">
        <f t="shared" si="9"/>
        <v>-0.34697315481135582</v>
      </c>
      <c r="Z49" s="6">
        <v>48.7</v>
      </c>
      <c r="AA49" s="3" t="s">
        <v>36</v>
      </c>
      <c r="AB49" s="3" t="s">
        <v>40</v>
      </c>
      <c r="AC49" s="3" t="s">
        <v>298</v>
      </c>
      <c r="AD49" s="9">
        <v>4.87</v>
      </c>
      <c r="AE49" s="6" t="s">
        <v>34</v>
      </c>
      <c r="AF49" s="2" t="s">
        <v>34</v>
      </c>
      <c r="AG49" s="6">
        <v>25.8</v>
      </c>
      <c r="AH49" s="2" t="s">
        <v>638</v>
      </c>
      <c r="AI49" s="7" t="s">
        <v>300</v>
      </c>
    </row>
    <row r="50" spans="1:35" x14ac:dyDescent="0.3">
      <c r="A50" s="3" t="s">
        <v>143</v>
      </c>
      <c r="B50" s="4" t="s">
        <v>228</v>
      </c>
      <c r="C50" s="3" t="s">
        <v>293</v>
      </c>
      <c r="D50" s="5" t="s">
        <v>294</v>
      </c>
      <c r="E50" s="5" t="s">
        <v>295</v>
      </c>
      <c r="F50" s="3" t="str">
        <f t="shared" si="6"/>
        <v>Amblygobius bynoensis</v>
      </c>
      <c r="G50" s="2" t="s">
        <v>296</v>
      </c>
      <c r="H50" s="6" t="s">
        <v>297</v>
      </c>
      <c r="I50" s="3">
        <f>0.3466*12</f>
        <v>4.1592000000000002</v>
      </c>
      <c r="J50" s="3" t="s">
        <v>37</v>
      </c>
      <c r="K50" s="3" t="s">
        <v>33</v>
      </c>
      <c r="L50" s="3" t="s">
        <v>298</v>
      </c>
      <c r="M50" s="6">
        <f>377/365</f>
        <v>1.0328767123287672</v>
      </c>
      <c r="N50" s="2" t="s">
        <v>299</v>
      </c>
      <c r="O50" s="6">
        <v>0.3833333333333333</v>
      </c>
      <c r="P50" s="2" t="s">
        <v>298</v>
      </c>
      <c r="Q50" s="6">
        <v>1.46</v>
      </c>
      <c r="R50" s="3">
        <v>117.1</v>
      </c>
      <c r="S50" s="3">
        <f>7.3/365</f>
        <v>0.02</v>
      </c>
      <c r="T50" s="3">
        <f t="shared" si="7"/>
        <v>-3.469731548113558</v>
      </c>
      <c r="U50" s="3" t="s">
        <v>40</v>
      </c>
      <c r="V50" s="3" t="s">
        <v>36</v>
      </c>
      <c r="W50" s="3" t="s">
        <v>299</v>
      </c>
      <c r="X50" s="8">
        <f t="shared" si="8"/>
        <v>11.709999999999999</v>
      </c>
      <c r="Y50" s="8">
        <f t="shared" si="9"/>
        <v>-0.34697315481135582</v>
      </c>
      <c r="Z50" s="6">
        <v>38.4</v>
      </c>
      <c r="AA50" s="3" t="s">
        <v>36</v>
      </c>
      <c r="AB50" s="3" t="s">
        <v>40</v>
      </c>
      <c r="AC50" s="3" t="s">
        <v>298</v>
      </c>
      <c r="AD50" s="9">
        <v>3.84</v>
      </c>
      <c r="AE50" s="6" t="s">
        <v>34</v>
      </c>
      <c r="AF50" s="2" t="s">
        <v>34</v>
      </c>
      <c r="AG50" s="6">
        <v>25.8</v>
      </c>
      <c r="AH50" s="2" t="s">
        <v>638</v>
      </c>
      <c r="AI50" s="7" t="s">
        <v>300</v>
      </c>
    </row>
    <row r="51" spans="1:35" x14ac:dyDescent="0.3">
      <c r="A51" s="3" t="s">
        <v>143</v>
      </c>
      <c r="B51" s="4" t="s">
        <v>228</v>
      </c>
      <c r="C51" s="3" t="s">
        <v>293</v>
      </c>
      <c r="D51" s="5" t="s">
        <v>294</v>
      </c>
      <c r="E51" s="5" t="s">
        <v>301</v>
      </c>
      <c r="F51" s="3" t="str">
        <f t="shared" si="6"/>
        <v>Amblygobius phalaena</v>
      </c>
      <c r="G51" s="2" t="s">
        <v>680</v>
      </c>
      <c r="H51" s="6" t="s">
        <v>297</v>
      </c>
      <c r="I51" s="3">
        <f>0.3234*12</f>
        <v>3.8808000000000002</v>
      </c>
      <c r="J51" s="3" t="s">
        <v>38</v>
      </c>
      <c r="K51" s="3" t="s">
        <v>33</v>
      </c>
      <c r="L51" s="3" t="s">
        <v>298</v>
      </c>
      <c r="M51" s="6">
        <f>414/365</f>
        <v>1.1342465753424658</v>
      </c>
      <c r="N51" s="2" t="s">
        <v>299</v>
      </c>
      <c r="O51" s="10">
        <v>0.5</v>
      </c>
      <c r="P51" s="2" t="s">
        <v>298</v>
      </c>
      <c r="Q51" s="6">
        <f>0.005*365</f>
        <v>1.825</v>
      </c>
      <c r="R51" s="3">
        <v>114.4</v>
      </c>
      <c r="S51" s="3">
        <f>21.1/365</f>
        <v>5.7808219178082196E-2</v>
      </c>
      <c r="T51" s="3">
        <f t="shared" si="7"/>
        <v>-12.728842357414271</v>
      </c>
      <c r="U51" s="3" t="s">
        <v>40</v>
      </c>
      <c r="V51" s="3" t="s">
        <v>36</v>
      </c>
      <c r="W51" s="3" t="s">
        <v>299</v>
      </c>
      <c r="X51" s="8">
        <f t="shared" si="8"/>
        <v>11.440000000000001</v>
      </c>
      <c r="Y51" s="8">
        <f t="shared" si="9"/>
        <v>-1.2728842357414272</v>
      </c>
      <c r="Z51" s="6">
        <v>59.9</v>
      </c>
      <c r="AA51" s="3" t="s">
        <v>36</v>
      </c>
      <c r="AB51" s="3" t="s">
        <v>40</v>
      </c>
      <c r="AC51" s="3" t="s">
        <v>298</v>
      </c>
      <c r="AD51" s="9">
        <v>5.99</v>
      </c>
      <c r="AE51" s="6" t="s">
        <v>34</v>
      </c>
      <c r="AF51" s="2" t="s">
        <v>34</v>
      </c>
      <c r="AG51" s="6">
        <v>25.8</v>
      </c>
      <c r="AH51" s="2" t="s">
        <v>638</v>
      </c>
      <c r="AI51" s="7" t="s">
        <v>300</v>
      </c>
    </row>
    <row r="52" spans="1:35" x14ac:dyDescent="0.3">
      <c r="A52" s="3" t="s">
        <v>143</v>
      </c>
      <c r="B52" s="4" t="s">
        <v>228</v>
      </c>
      <c r="C52" s="3" t="s">
        <v>293</v>
      </c>
      <c r="D52" s="5" t="s">
        <v>294</v>
      </c>
      <c r="E52" s="5" t="s">
        <v>301</v>
      </c>
      <c r="F52" s="3" t="str">
        <f t="shared" si="6"/>
        <v>Amblygobius phalaena</v>
      </c>
      <c r="G52" s="2" t="s">
        <v>680</v>
      </c>
      <c r="H52" s="6" t="s">
        <v>297</v>
      </c>
      <c r="I52" s="3">
        <f>0.3132*12</f>
        <v>3.7584</v>
      </c>
      <c r="J52" s="3" t="s">
        <v>37</v>
      </c>
      <c r="K52" s="3" t="s">
        <v>33</v>
      </c>
      <c r="L52" s="3" t="s">
        <v>298</v>
      </c>
      <c r="M52" s="6">
        <f>400/365</f>
        <v>1.095890410958904</v>
      </c>
      <c r="N52" s="2" t="s">
        <v>299</v>
      </c>
      <c r="O52" s="10">
        <v>0.39999999999999997</v>
      </c>
      <c r="P52" s="2" t="s">
        <v>298</v>
      </c>
      <c r="Q52" s="6">
        <f>0.005*365</f>
        <v>1.825</v>
      </c>
      <c r="R52" s="3">
        <v>114.4</v>
      </c>
      <c r="S52" s="3">
        <f>21.1/365</f>
        <v>5.7808219178082196E-2</v>
      </c>
      <c r="T52" s="3">
        <f t="shared" si="7"/>
        <v>-12.728842357414271</v>
      </c>
      <c r="U52" s="3" t="s">
        <v>40</v>
      </c>
      <c r="V52" s="3" t="s">
        <v>36</v>
      </c>
      <c r="W52" s="3" t="s">
        <v>299</v>
      </c>
      <c r="X52" s="8">
        <f t="shared" si="8"/>
        <v>11.440000000000001</v>
      </c>
      <c r="Y52" s="8">
        <f t="shared" si="9"/>
        <v>-1.2728842357414272</v>
      </c>
      <c r="Z52" s="6">
        <v>49.5</v>
      </c>
      <c r="AA52" s="3" t="s">
        <v>36</v>
      </c>
      <c r="AB52" s="3" t="s">
        <v>40</v>
      </c>
      <c r="AC52" s="3" t="s">
        <v>298</v>
      </c>
      <c r="AD52" s="9">
        <v>4.95</v>
      </c>
      <c r="AE52" s="6" t="s">
        <v>34</v>
      </c>
      <c r="AF52" s="2" t="s">
        <v>34</v>
      </c>
      <c r="AG52" s="6">
        <v>25.8</v>
      </c>
      <c r="AH52" s="2" t="s">
        <v>638</v>
      </c>
      <c r="AI52" s="7" t="s">
        <v>300</v>
      </c>
    </row>
    <row r="53" spans="1:35" x14ac:dyDescent="0.3">
      <c r="A53" s="3" t="s">
        <v>143</v>
      </c>
      <c r="B53" s="4" t="s">
        <v>228</v>
      </c>
      <c r="C53" s="3" t="s">
        <v>293</v>
      </c>
      <c r="D53" s="5" t="s">
        <v>302</v>
      </c>
      <c r="E53" s="5" t="s">
        <v>303</v>
      </c>
      <c r="F53" s="3" t="str">
        <f t="shared" si="6"/>
        <v>Asterropteryx semipunctatus</v>
      </c>
      <c r="G53" s="2" t="s">
        <v>681</v>
      </c>
      <c r="H53" s="6" t="s">
        <v>297</v>
      </c>
      <c r="I53" s="3">
        <f>0.4079*12</f>
        <v>4.8948</v>
      </c>
      <c r="J53" s="3" t="s">
        <v>38</v>
      </c>
      <c r="K53" s="3" t="s">
        <v>33</v>
      </c>
      <c r="L53" s="3" t="s">
        <v>298</v>
      </c>
      <c r="M53" s="6">
        <f>419/365</f>
        <v>1.1479452054794521</v>
      </c>
      <c r="N53" s="2" t="s">
        <v>299</v>
      </c>
      <c r="O53" s="10">
        <v>0.46666666666666662</v>
      </c>
      <c r="P53" s="2" t="s">
        <v>298</v>
      </c>
      <c r="Q53" s="6">
        <f>0.006*365</f>
        <v>2.19</v>
      </c>
      <c r="R53" s="3">
        <v>47.2</v>
      </c>
      <c r="S53" s="3">
        <f>11.2/365</f>
        <v>3.0684931506849315E-2</v>
      </c>
      <c r="T53" s="3">
        <f t="shared" si="7"/>
        <v>-3.2808417286373315</v>
      </c>
      <c r="U53" s="3" t="s">
        <v>40</v>
      </c>
      <c r="V53" s="3" t="s">
        <v>36</v>
      </c>
      <c r="W53" s="3" t="s">
        <v>299</v>
      </c>
      <c r="X53" s="8">
        <f t="shared" si="8"/>
        <v>4.7200000000000006</v>
      </c>
      <c r="Y53" s="8">
        <f t="shared" si="9"/>
        <v>-0.32808417286373315</v>
      </c>
      <c r="Z53" s="6">
        <v>27.7</v>
      </c>
      <c r="AA53" s="3" t="s">
        <v>36</v>
      </c>
      <c r="AB53" s="3" t="s">
        <v>40</v>
      </c>
      <c r="AC53" s="3" t="s">
        <v>298</v>
      </c>
      <c r="AD53" s="9">
        <v>2.77</v>
      </c>
      <c r="AE53" s="6" t="s">
        <v>34</v>
      </c>
      <c r="AF53" s="2" t="s">
        <v>34</v>
      </c>
      <c r="AG53" s="6">
        <v>25.8</v>
      </c>
      <c r="AH53" s="2" t="s">
        <v>638</v>
      </c>
      <c r="AI53" s="7" t="s">
        <v>300</v>
      </c>
    </row>
    <row r="54" spans="1:35" x14ac:dyDescent="0.3">
      <c r="A54" s="3" t="s">
        <v>143</v>
      </c>
      <c r="B54" s="4" t="s">
        <v>228</v>
      </c>
      <c r="C54" s="3" t="s">
        <v>293</v>
      </c>
      <c r="D54" s="5" t="s">
        <v>302</v>
      </c>
      <c r="E54" s="5" t="s">
        <v>303</v>
      </c>
      <c r="F54" s="3" t="str">
        <f t="shared" si="6"/>
        <v>Asterropteryx semipunctatus</v>
      </c>
      <c r="G54" s="2" t="s">
        <v>681</v>
      </c>
      <c r="H54" s="6" t="s">
        <v>297</v>
      </c>
      <c r="I54" s="3">
        <f>0.3587*12</f>
        <v>4.3044000000000002</v>
      </c>
      <c r="J54" s="3" t="s">
        <v>37</v>
      </c>
      <c r="K54" s="3" t="s">
        <v>33</v>
      </c>
      <c r="L54" s="3" t="s">
        <v>298</v>
      </c>
      <c r="M54" s="6">
        <f>457/365</f>
        <v>1.252054794520548</v>
      </c>
      <c r="N54" s="2" t="s">
        <v>299</v>
      </c>
      <c r="O54" s="10">
        <v>0.45</v>
      </c>
      <c r="P54" s="2" t="s">
        <v>298</v>
      </c>
      <c r="Q54" s="6">
        <f>0.003*365</f>
        <v>1.095</v>
      </c>
      <c r="R54" s="3">
        <v>77.099999999999994</v>
      </c>
      <c r="S54" s="3">
        <f>3.4/365</f>
        <v>9.3150684931506845E-3</v>
      </c>
      <c r="T54" s="3">
        <f t="shared" si="7"/>
        <v>-0.79044441336698734</v>
      </c>
      <c r="U54" s="3" t="s">
        <v>40</v>
      </c>
      <c r="V54" s="3" t="s">
        <v>36</v>
      </c>
      <c r="W54" s="3" t="s">
        <v>299</v>
      </c>
      <c r="X54" s="8">
        <f t="shared" si="8"/>
        <v>7.7099999999999991</v>
      </c>
      <c r="Y54" s="8">
        <f t="shared" si="9"/>
        <v>-7.9044441336698731E-2</v>
      </c>
      <c r="Z54" s="6">
        <v>25.5</v>
      </c>
      <c r="AA54" s="3" t="s">
        <v>36</v>
      </c>
      <c r="AB54" s="3" t="s">
        <v>40</v>
      </c>
      <c r="AC54" s="3" t="s">
        <v>298</v>
      </c>
      <c r="AD54" s="9">
        <v>2.5499999999999998</v>
      </c>
      <c r="AE54" s="6" t="s">
        <v>34</v>
      </c>
      <c r="AF54" s="2" t="s">
        <v>34</v>
      </c>
      <c r="AG54" s="6">
        <v>25.8</v>
      </c>
      <c r="AH54" s="2" t="s">
        <v>638</v>
      </c>
      <c r="AI54" s="7" t="s">
        <v>300</v>
      </c>
    </row>
    <row r="55" spans="1:35" x14ac:dyDescent="0.3">
      <c r="A55" s="3" t="s">
        <v>143</v>
      </c>
      <c r="B55" s="4" t="s">
        <v>228</v>
      </c>
      <c r="C55" s="3" t="s">
        <v>293</v>
      </c>
      <c r="D55" s="5" t="s">
        <v>305</v>
      </c>
      <c r="E55" s="5" t="s">
        <v>306</v>
      </c>
      <c r="F55" s="3" t="str">
        <f t="shared" si="6"/>
        <v>Gobius vittatus</v>
      </c>
      <c r="G55" s="2" t="s">
        <v>682</v>
      </c>
      <c r="H55" s="6" t="s">
        <v>307</v>
      </c>
      <c r="I55" s="3">
        <v>0.94</v>
      </c>
      <c r="J55" s="3" t="s">
        <v>38</v>
      </c>
      <c r="K55" s="3" t="s">
        <v>33</v>
      </c>
      <c r="L55" s="3" t="s">
        <v>308</v>
      </c>
      <c r="M55" s="6">
        <v>4</v>
      </c>
      <c r="N55" s="2" t="s">
        <v>308</v>
      </c>
      <c r="O55" s="10">
        <v>1.5</v>
      </c>
      <c r="P55" s="2" t="s">
        <v>309</v>
      </c>
      <c r="Q55" s="6">
        <v>1.02</v>
      </c>
      <c r="R55" s="3">
        <v>51</v>
      </c>
      <c r="S55" s="3">
        <v>-0.47</v>
      </c>
      <c r="T55" s="3">
        <f>R55*(1-EXP(Q55*S55))</f>
        <v>19.423106564529753</v>
      </c>
      <c r="U55" s="3" t="s">
        <v>40</v>
      </c>
      <c r="V55" s="3" t="s">
        <v>36</v>
      </c>
      <c r="W55" s="3" t="s">
        <v>308</v>
      </c>
      <c r="X55" s="8">
        <f t="shared" si="8"/>
        <v>5.0999999999999996</v>
      </c>
      <c r="Y55" s="8">
        <f t="shared" si="9"/>
        <v>1.9423106564529753</v>
      </c>
      <c r="Z55" s="6">
        <v>32.799999999999997</v>
      </c>
      <c r="AA55" s="3" t="s">
        <v>36</v>
      </c>
      <c r="AB55" s="3" t="s">
        <v>40</v>
      </c>
      <c r="AC55" s="3" t="s">
        <v>309</v>
      </c>
      <c r="AD55" s="9">
        <v>3.28</v>
      </c>
      <c r="AE55" s="6" t="s">
        <v>34</v>
      </c>
      <c r="AF55" s="2" t="s">
        <v>34</v>
      </c>
      <c r="AG55" s="6">
        <v>14</v>
      </c>
      <c r="AH55" s="2" t="s">
        <v>638</v>
      </c>
      <c r="AI55" s="7" t="s">
        <v>310</v>
      </c>
    </row>
    <row r="56" spans="1:35" x14ac:dyDescent="0.3">
      <c r="A56" s="3" t="s">
        <v>143</v>
      </c>
      <c r="B56" s="4" t="s">
        <v>228</v>
      </c>
      <c r="C56" s="3" t="s">
        <v>293</v>
      </c>
      <c r="D56" s="5" t="s">
        <v>305</v>
      </c>
      <c r="E56" s="5" t="s">
        <v>306</v>
      </c>
      <c r="F56" s="3" t="str">
        <f t="shared" si="6"/>
        <v>Gobius vittatus</v>
      </c>
      <c r="G56" s="2" t="s">
        <v>682</v>
      </c>
      <c r="H56" s="6" t="s">
        <v>307</v>
      </c>
      <c r="I56" s="3">
        <v>0.99</v>
      </c>
      <c r="J56" s="3" t="s">
        <v>37</v>
      </c>
      <c r="K56" s="3" t="s">
        <v>33</v>
      </c>
      <c r="L56" s="3" t="s">
        <v>308</v>
      </c>
      <c r="M56" s="6">
        <v>3</v>
      </c>
      <c r="N56" s="2" t="s">
        <v>308</v>
      </c>
      <c r="O56" s="10">
        <v>1.5</v>
      </c>
      <c r="P56" s="2" t="s">
        <v>309</v>
      </c>
      <c r="Q56" s="6">
        <v>1.18</v>
      </c>
      <c r="R56" s="3">
        <v>50.1</v>
      </c>
      <c r="S56" s="3">
        <v>-0.42</v>
      </c>
      <c r="T56" s="3">
        <f>R56*(1-EXP(Q56*S56))</f>
        <v>19.578815749917045</v>
      </c>
      <c r="U56" s="3" t="s">
        <v>40</v>
      </c>
      <c r="V56" s="3" t="s">
        <v>36</v>
      </c>
      <c r="W56" s="3" t="s">
        <v>308</v>
      </c>
      <c r="X56" s="8">
        <f t="shared" si="8"/>
        <v>5.01</v>
      </c>
      <c r="Y56" s="8">
        <f t="shared" si="9"/>
        <v>1.9578815749917045</v>
      </c>
      <c r="Z56" s="6">
        <v>35.4</v>
      </c>
      <c r="AA56" s="3" t="s">
        <v>36</v>
      </c>
      <c r="AB56" s="3" t="s">
        <v>40</v>
      </c>
      <c r="AC56" s="3" t="s">
        <v>309</v>
      </c>
      <c r="AD56" s="9">
        <v>3.54</v>
      </c>
      <c r="AE56" s="6" t="s">
        <v>34</v>
      </c>
      <c r="AF56" s="2" t="s">
        <v>34</v>
      </c>
      <c r="AG56" s="6">
        <v>14</v>
      </c>
      <c r="AH56" s="2" t="s">
        <v>638</v>
      </c>
      <c r="AI56" s="7" t="s">
        <v>310</v>
      </c>
    </row>
    <row r="57" spans="1:35" x14ac:dyDescent="0.3">
      <c r="A57" s="3" t="s">
        <v>143</v>
      </c>
      <c r="B57" s="4" t="s">
        <v>228</v>
      </c>
      <c r="C57" s="3" t="s">
        <v>293</v>
      </c>
      <c r="D57" s="5" t="s">
        <v>311</v>
      </c>
      <c r="E57" s="5" t="s">
        <v>312</v>
      </c>
      <c r="F57" s="3" t="str">
        <f t="shared" si="6"/>
        <v>Istigobius decoratus</v>
      </c>
      <c r="G57" s="2" t="s">
        <v>683</v>
      </c>
      <c r="H57" s="6" t="s">
        <v>313</v>
      </c>
      <c r="I57" s="3">
        <f>0.66*12</f>
        <v>7.92</v>
      </c>
      <c r="J57" s="3" t="s">
        <v>32</v>
      </c>
      <c r="K57" s="3" t="s">
        <v>314</v>
      </c>
      <c r="L57" s="3" t="s">
        <v>315</v>
      </c>
      <c r="M57" s="6">
        <f>266/365</f>
        <v>0.72876712328767124</v>
      </c>
      <c r="N57" s="2" t="s">
        <v>315</v>
      </c>
      <c r="O57" s="10" t="s">
        <v>34</v>
      </c>
      <c r="P57" s="2" t="s">
        <v>34</v>
      </c>
      <c r="Q57" s="10" t="s">
        <v>34</v>
      </c>
      <c r="R57" s="8" t="s">
        <v>34</v>
      </c>
      <c r="S57" s="8" t="s">
        <v>34</v>
      </c>
      <c r="T57" s="3" t="s">
        <v>34</v>
      </c>
      <c r="U57" s="5" t="s">
        <v>34</v>
      </c>
      <c r="V57" s="5" t="s">
        <v>34</v>
      </c>
      <c r="W57" s="5" t="s">
        <v>34</v>
      </c>
      <c r="X57" s="8" t="s">
        <v>34</v>
      </c>
      <c r="Y57" s="8" t="s">
        <v>34</v>
      </c>
      <c r="Z57" s="6" t="s">
        <v>34</v>
      </c>
      <c r="AA57" s="3" t="s">
        <v>34</v>
      </c>
      <c r="AB57" s="3" t="s">
        <v>34</v>
      </c>
      <c r="AC57" s="3" t="s">
        <v>34</v>
      </c>
      <c r="AD57" s="2" t="s">
        <v>34</v>
      </c>
      <c r="AE57" s="6" t="s">
        <v>34</v>
      </c>
      <c r="AF57" s="2" t="s">
        <v>34</v>
      </c>
      <c r="AG57" s="6">
        <v>27.5</v>
      </c>
      <c r="AH57" s="2" t="s">
        <v>638</v>
      </c>
      <c r="AI57" s="7" t="s">
        <v>842</v>
      </c>
    </row>
    <row r="58" spans="1:35" x14ac:dyDescent="0.3">
      <c r="A58" s="3" t="s">
        <v>143</v>
      </c>
      <c r="B58" s="4" t="s">
        <v>228</v>
      </c>
      <c r="C58" s="3" t="s">
        <v>293</v>
      </c>
      <c r="D58" s="5" t="s">
        <v>311</v>
      </c>
      <c r="E58" s="5" t="s">
        <v>316</v>
      </c>
      <c r="F58" s="3" t="str">
        <f t="shared" si="6"/>
        <v>Istigobius goldmanni</v>
      </c>
      <c r="G58" s="2" t="s">
        <v>317</v>
      </c>
      <c r="H58" s="6" t="s">
        <v>297</v>
      </c>
      <c r="I58" s="3">
        <f>0.4225*12</f>
        <v>5.07</v>
      </c>
      <c r="J58" s="3" t="s">
        <v>38</v>
      </c>
      <c r="K58" s="3" t="s">
        <v>33</v>
      </c>
      <c r="L58" s="3" t="s">
        <v>298</v>
      </c>
      <c r="M58" s="6">
        <f>323/365</f>
        <v>0.8849315068493151</v>
      </c>
      <c r="N58" s="2" t="s">
        <v>299</v>
      </c>
      <c r="O58" s="10">
        <v>0.48333333333333334</v>
      </c>
      <c r="P58" s="2" t="s">
        <v>298</v>
      </c>
      <c r="Q58" s="6">
        <f>0.004*365</f>
        <v>1.46</v>
      </c>
      <c r="R58" s="3">
        <v>64.8</v>
      </c>
      <c r="S58" s="3">
        <f>-6.1/365</f>
        <v>-1.6712328767123287E-2</v>
      </c>
      <c r="T58" s="3">
        <f t="shared" ref="T58:T63" si="10">R58*(1-EXP(Q58*S58))</f>
        <v>1.5619862728940253</v>
      </c>
      <c r="U58" s="3" t="s">
        <v>40</v>
      </c>
      <c r="V58" s="3" t="s">
        <v>36</v>
      </c>
      <c r="W58" s="3" t="s">
        <v>299</v>
      </c>
      <c r="X58" s="8">
        <f>R58/10</f>
        <v>6.4799999999999995</v>
      </c>
      <c r="Y58" s="8">
        <f>T58/10</f>
        <v>0.15619862728940254</v>
      </c>
      <c r="Z58" s="6">
        <v>30.7</v>
      </c>
      <c r="AA58" s="3" t="s">
        <v>36</v>
      </c>
      <c r="AB58" s="3" t="s">
        <v>40</v>
      </c>
      <c r="AC58" s="3" t="s">
        <v>298</v>
      </c>
      <c r="AD58" s="9">
        <v>3.07</v>
      </c>
      <c r="AE58" s="6" t="s">
        <v>34</v>
      </c>
      <c r="AF58" s="2" t="s">
        <v>34</v>
      </c>
      <c r="AG58" s="6">
        <v>25.8</v>
      </c>
      <c r="AH58" s="2" t="s">
        <v>638</v>
      </c>
      <c r="AI58" s="7" t="s">
        <v>300</v>
      </c>
    </row>
    <row r="59" spans="1:35" x14ac:dyDescent="0.3">
      <c r="A59" s="3" t="s">
        <v>143</v>
      </c>
      <c r="B59" s="4" t="s">
        <v>228</v>
      </c>
      <c r="C59" s="3" t="s">
        <v>293</v>
      </c>
      <c r="D59" s="5" t="s">
        <v>311</v>
      </c>
      <c r="E59" s="5" t="s">
        <v>316</v>
      </c>
      <c r="F59" s="3" t="str">
        <f t="shared" si="6"/>
        <v>Istigobius goldmanni</v>
      </c>
      <c r="G59" s="2" t="s">
        <v>317</v>
      </c>
      <c r="H59" s="6" t="s">
        <v>297</v>
      </c>
      <c r="I59" s="3">
        <f>0.3568*12</f>
        <v>4.2816000000000001</v>
      </c>
      <c r="J59" s="3" t="s">
        <v>37</v>
      </c>
      <c r="K59" s="3" t="s">
        <v>33</v>
      </c>
      <c r="L59" s="3" t="s">
        <v>298</v>
      </c>
      <c r="M59" s="6">
        <f>375/365</f>
        <v>1.0273972602739727</v>
      </c>
      <c r="N59" s="2" t="s">
        <v>299</v>
      </c>
      <c r="O59" s="10">
        <v>0.45833333333333331</v>
      </c>
      <c r="P59" s="2" t="s">
        <v>298</v>
      </c>
      <c r="Q59" s="6">
        <f>0.003*365</f>
        <v>1.095</v>
      </c>
      <c r="R59" s="3">
        <v>98.1</v>
      </c>
      <c r="S59" s="3">
        <f>-9.6/365</f>
        <v>-2.6301369863013697E-2</v>
      </c>
      <c r="T59" s="3">
        <f t="shared" si="10"/>
        <v>2.7849837387470573</v>
      </c>
      <c r="U59" s="3" t="s">
        <v>40</v>
      </c>
      <c r="V59" s="3" t="s">
        <v>36</v>
      </c>
      <c r="W59" s="3" t="s">
        <v>299</v>
      </c>
      <c r="X59" s="8">
        <f>R59/10</f>
        <v>9.8099999999999987</v>
      </c>
      <c r="Y59" s="8">
        <f>T59/10</f>
        <v>0.27849837387470572</v>
      </c>
      <c r="Z59" s="6">
        <v>30</v>
      </c>
      <c r="AA59" s="3" t="s">
        <v>36</v>
      </c>
      <c r="AB59" s="3" t="s">
        <v>40</v>
      </c>
      <c r="AC59" s="3" t="s">
        <v>298</v>
      </c>
      <c r="AD59" s="9">
        <v>3</v>
      </c>
      <c r="AE59" s="6" t="s">
        <v>34</v>
      </c>
      <c r="AF59" s="2" t="s">
        <v>34</v>
      </c>
      <c r="AG59" s="6">
        <v>25.8</v>
      </c>
      <c r="AH59" s="2" t="s">
        <v>638</v>
      </c>
      <c r="AI59" s="7" t="s">
        <v>300</v>
      </c>
    </row>
    <row r="60" spans="1:35" x14ac:dyDescent="0.3">
      <c r="A60" s="3" t="s">
        <v>143</v>
      </c>
      <c r="B60" s="4" t="s">
        <v>228</v>
      </c>
      <c r="C60" s="3" t="s">
        <v>293</v>
      </c>
      <c r="D60" s="5" t="s">
        <v>318</v>
      </c>
      <c r="E60" s="5" t="s">
        <v>319</v>
      </c>
      <c r="F60" s="3" t="str">
        <f t="shared" si="6"/>
        <v>Valenciennea muralis</v>
      </c>
      <c r="G60" s="2" t="s">
        <v>684</v>
      </c>
      <c r="H60" s="6" t="s">
        <v>297</v>
      </c>
      <c r="I60" s="3">
        <f>0.4137*12</f>
        <v>4.9644000000000004</v>
      </c>
      <c r="J60" s="3" t="s">
        <v>38</v>
      </c>
      <c r="K60" s="3" t="s">
        <v>33</v>
      </c>
      <c r="L60" s="3" t="s">
        <v>298</v>
      </c>
      <c r="M60" s="6">
        <f>363/365</f>
        <v>0.9945205479452055</v>
      </c>
      <c r="N60" s="2" t="s">
        <v>299</v>
      </c>
      <c r="O60" s="10">
        <v>0.39166666666666666</v>
      </c>
      <c r="P60" s="2" t="s">
        <v>298</v>
      </c>
      <c r="Q60" s="6">
        <f>0.007*365</f>
        <v>2.5550000000000002</v>
      </c>
      <c r="R60" s="3">
        <v>106.1</v>
      </c>
      <c r="S60" s="3">
        <f>14.1/365</f>
        <v>3.8630136986301369E-2</v>
      </c>
      <c r="T60" s="3">
        <f t="shared" si="10"/>
        <v>-11.006297223719871</v>
      </c>
      <c r="U60" s="3" t="s">
        <v>40</v>
      </c>
      <c r="V60" s="3" t="s">
        <v>36</v>
      </c>
      <c r="W60" s="3" t="s">
        <v>299</v>
      </c>
      <c r="X60" s="8">
        <f>R60/10</f>
        <v>10.61</v>
      </c>
      <c r="Y60" s="8">
        <f>T60/10</f>
        <v>-1.1006297223719872</v>
      </c>
      <c r="Z60" s="6">
        <v>53.9</v>
      </c>
      <c r="AA60" s="3" t="s">
        <v>36</v>
      </c>
      <c r="AB60" s="3" t="s">
        <v>40</v>
      </c>
      <c r="AC60" s="3" t="s">
        <v>298</v>
      </c>
      <c r="AD60" s="9">
        <v>5.39</v>
      </c>
      <c r="AE60" s="6" t="s">
        <v>34</v>
      </c>
      <c r="AF60" s="2" t="s">
        <v>34</v>
      </c>
      <c r="AG60" s="6">
        <v>25.8</v>
      </c>
      <c r="AH60" s="2" t="s">
        <v>638</v>
      </c>
      <c r="AI60" s="7" t="s">
        <v>300</v>
      </c>
    </row>
    <row r="61" spans="1:35" x14ac:dyDescent="0.3">
      <c r="A61" s="3" t="s">
        <v>143</v>
      </c>
      <c r="B61" s="4" t="s">
        <v>228</v>
      </c>
      <c r="C61" s="3" t="s">
        <v>293</v>
      </c>
      <c r="D61" s="5" t="s">
        <v>318</v>
      </c>
      <c r="E61" s="5" t="s">
        <v>319</v>
      </c>
      <c r="F61" s="3" t="str">
        <f t="shared" si="6"/>
        <v>Valenciennea muralis</v>
      </c>
      <c r="G61" s="2" t="s">
        <v>684</v>
      </c>
      <c r="H61" s="6" t="s">
        <v>297</v>
      </c>
      <c r="I61" s="3">
        <f>0.3981*12</f>
        <v>4.7772000000000006</v>
      </c>
      <c r="J61" s="3" t="s">
        <v>37</v>
      </c>
      <c r="K61" s="3" t="s">
        <v>33</v>
      </c>
      <c r="L61" s="3" t="s">
        <v>298</v>
      </c>
      <c r="M61" s="6">
        <f>345/365</f>
        <v>0.9452054794520548</v>
      </c>
      <c r="N61" s="2" t="s">
        <v>299</v>
      </c>
      <c r="O61" s="10">
        <v>0.32500000000000001</v>
      </c>
      <c r="P61" s="2" t="s">
        <v>298</v>
      </c>
      <c r="Q61" s="6">
        <f>0.007*365</f>
        <v>2.5550000000000002</v>
      </c>
      <c r="R61" s="3">
        <v>106.1</v>
      </c>
      <c r="S61" s="3">
        <f>14.1/365</f>
        <v>3.8630136986301369E-2</v>
      </c>
      <c r="T61" s="3">
        <f t="shared" si="10"/>
        <v>-11.006297223719871</v>
      </c>
      <c r="U61" s="3" t="s">
        <v>40</v>
      </c>
      <c r="V61" s="3" t="s">
        <v>36</v>
      </c>
      <c r="W61" s="3" t="s">
        <v>299</v>
      </c>
      <c r="X61" s="8">
        <f>R61/10</f>
        <v>10.61</v>
      </c>
      <c r="Y61" s="8">
        <f>T61/10</f>
        <v>-1.1006297223719872</v>
      </c>
      <c r="Z61" s="6">
        <v>52.5</v>
      </c>
      <c r="AA61" s="3" t="s">
        <v>36</v>
      </c>
      <c r="AB61" s="3" t="s">
        <v>40</v>
      </c>
      <c r="AC61" s="3" t="s">
        <v>298</v>
      </c>
      <c r="AD61" s="9">
        <v>5.25</v>
      </c>
      <c r="AE61" s="6" t="s">
        <v>34</v>
      </c>
      <c r="AF61" s="2" t="s">
        <v>34</v>
      </c>
      <c r="AG61" s="6">
        <v>25.8</v>
      </c>
      <c r="AH61" s="2" t="s">
        <v>638</v>
      </c>
      <c r="AI61" s="7" t="s">
        <v>300</v>
      </c>
    </row>
    <row r="62" spans="1:35" x14ac:dyDescent="0.3">
      <c r="A62" s="3" t="s">
        <v>143</v>
      </c>
      <c r="B62" s="4" t="s">
        <v>228</v>
      </c>
      <c r="C62" s="3" t="s">
        <v>320</v>
      </c>
      <c r="D62" s="5" t="s">
        <v>321</v>
      </c>
      <c r="E62" s="5" t="s">
        <v>322</v>
      </c>
      <c r="F62" s="3" t="str">
        <f t="shared" si="6"/>
        <v>Cheilinus undulatus</v>
      </c>
      <c r="G62" s="2" t="s">
        <v>685</v>
      </c>
      <c r="H62" s="6" t="s">
        <v>323</v>
      </c>
      <c r="I62" s="3">
        <v>0.1081</v>
      </c>
      <c r="J62" s="3" t="s">
        <v>32</v>
      </c>
      <c r="K62" s="3" t="s">
        <v>33</v>
      </c>
      <c r="L62" s="3" t="s">
        <v>324</v>
      </c>
      <c r="M62" s="6">
        <f>AVERAGE(25, 32)</f>
        <v>28.5</v>
      </c>
      <c r="N62" s="2" t="s">
        <v>324</v>
      </c>
      <c r="O62" s="10">
        <v>6</v>
      </c>
      <c r="P62" s="2" t="s">
        <v>324</v>
      </c>
      <c r="Q62" s="6">
        <f>AVERAGE(0.04,0.09)</f>
        <v>6.5000000000000002E-2</v>
      </c>
      <c r="R62" s="3">
        <f>AVERAGE(80, 200)</f>
        <v>140</v>
      </c>
      <c r="S62" s="3">
        <f>AVERAGE(2.61, 4.29)*-1</f>
        <v>-3.45</v>
      </c>
      <c r="T62" s="3">
        <f t="shared" si="10"/>
        <v>28.123853721279509</v>
      </c>
      <c r="U62" s="3" t="s">
        <v>35</v>
      </c>
      <c r="V62" s="3" t="s">
        <v>36</v>
      </c>
      <c r="W62" s="3" t="s">
        <v>325</v>
      </c>
      <c r="X62" s="8">
        <f>R62</f>
        <v>140</v>
      </c>
      <c r="Y62" s="8">
        <f>T62</f>
        <v>28.123853721279509</v>
      </c>
      <c r="Z62" s="6">
        <f>AVERAGE(55, 70)</f>
        <v>62.5</v>
      </c>
      <c r="AA62" s="3" t="s">
        <v>50</v>
      </c>
      <c r="AB62" s="3" t="s">
        <v>35</v>
      </c>
      <c r="AC62" s="3" t="s">
        <v>324</v>
      </c>
      <c r="AD62" s="9">
        <v>62.5</v>
      </c>
      <c r="AE62" s="6" t="s">
        <v>326</v>
      </c>
      <c r="AF62" s="2" t="s">
        <v>53</v>
      </c>
      <c r="AG62" s="6">
        <v>26</v>
      </c>
      <c r="AH62" s="2" t="s">
        <v>638</v>
      </c>
      <c r="AI62" s="7" t="s">
        <v>647</v>
      </c>
    </row>
    <row r="63" spans="1:35" x14ac:dyDescent="0.3">
      <c r="A63" s="3" t="s">
        <v>143</v>
      </c>
      <c r="B63" s="4" t="s">
        <v>228</v>
      </c>
      <c r="C63" s="3" t="s">
        <v>327</v>
      </c>
      <c r="D63" s="5" t="s">
        <v>328</v>
      </c>
      <c r="E63" s="5" t="s">
        <v>329</v>
      </c>
      <c r="F63" s="3" t="str">
        <f t="shared" si="6"/>
        <v>Lethrinus nebulosus</v>
      </c>
      <c r="G63" s="2" t="s">
        <v>686</v>
      </c>
      <c r="H63" s="6" t="s">
        <v>330</v>
      </c>
      <c r="I63" s="3">
        <v>0.156</v>
      </c>
      <c r="J63" s="3" t="s">
        <v>32</v>
      </c>
      <c r="K63" s="3" t="s">
        <v>33</v>
      </c>
      <c r="L63" s="3" t="s">
        <v>331</v>
      </c>
      <c r="M63" s="6">
        <v>23</v>
      </c>
      <c r="N63" s="2" t="s">
        <v>331</v>
      </c>
      <c r="O63" s="10" t="s">
        <v>34</v>
      </c>
      <c r="P63" s="2" t="s">
        <v>34</v>
      </c>
      <c r="Q63" s="6">
        <v>0.221</v>
      </c>
      <c r="R63" s="3">
        <v>568</v>
      </c>
      <c r="S63" s="3">
        <v>-1.49</v>
      </c>
      <c r="T63" s="3">
        <f t="shared" si="10"/>
        <v>159.36128889879947</v>
      </c>
      <c r="U63" s="3" t="s">
        <v>40</v>
      </c>
      <c r="V63" s="3" t="s">
        <v>50</v>
      </c>
      <c r="W63" s="3" t="s">
        <v>331</v>
      </c>
      <c r="X63" s="8">
        <f>1.0715*R63/10</f>
        <v>60.861199999999997</v>
      </c>
      <c r="Y63" s="8">
        <f>1.0715*T63/10</f>
        <v>17.075562105506361</v>
      </c>
      <c r="Z63" s="6" t="s">
        <v>34</v>
      </c>
      <c r="AA63" s="3" t="s">
        <v>34</v>
      </c>
      <c r="AB63" s="3" t="s">
        <v>34</v>
      </c>
      <c r="AC63" s="3" t="s">
        <v>34</v>
      </c>
      <c r="AD63" s="2" t="s">
        <v>34</v>
      </c>
      <c r="AE63" s="6" t="s">
        <v>332</v>
      </c>
      <c r="AF63" s="2" t="s">
        <v>53</v>
      </c>
      <c r="AG63" s="6">
        <v>24.375</v>
      </c>
      <c r="AH63" s="2" t="s">
        <v>638</v>
      </c>
      <c r="AI63" s="7" t="s">
        <v>648</v>
      </c>
    </row>
    <row r="64" spans="1:35" x14ac:dyDescent="0.3">
      <c r="A64" s="3" t="s">
        <v>143</v>
      </c>
      <c r="B64" s="4" t="s">
        <v>228</v>
      </c>
      <c r="C64" s="3" t="s">
        <v>333</v>
      </c>
      <c r="D64" s="5" t="s">
        <v>334</v>
      </c>
      <c r="E64" s="5" t="s">
        <v>335</v>
      </c>
      <c r="F64" s="3" t="str">
        <f t="shared" si="6"/>
        <v>Lutjanus adetii</v>
      </c>
      <c r="G64" s="2" t="s">
        <v>687</v>
      </c>
      <c r="H64" s="6" t="s">
        <v>304</v>
      </c>
      <c r="I64" s="3">
        <v>0.193</v>
      </c>
      <c r="J64" s="3" t="s">
        <v>38</v>
      </c>
      <c r="K64" s="3" t="s">
        <v>33</v>
      </c>
      <c r="L64" s="3" t="s">
        <v>336</v>
      </c>
      <c r="M64" s="6">
        <v>23</v>
      </c>
      <c r="N64" s="2" t="s">
        <v>336</v>
      </c>
      <c r="O64" s="10" t="s">
        <v>34</v>
      </c>
      <c r="P64" s="2" t="s">
        <v>34</v>
      </c>
      <c r="Q64" s="6" t="s">
        <v>34</v>
      </c>
      <c r="R64" s="3" t="s">
        <v>34</v>
      </c>
      <c r="S64" s="3" t="s">
        <v>34</v>
      </c>
      <c r="T64" s="3" t="s">
        <v>34</v>
      </c>
      <c r="U64" s="3" t="s">
        <v>34</v>
      </c>
      <c r="V64" s="3" t="s">
        <v>34</v>
      </c>
      <c r="W64" s="3" t="s">
        <v>34</v>
      </c>
      <c r="X64" s="8" t="s">
        <v>34</v>
      </c>
      <c r="Y64" s="8" t="s">
        <v>34</v>
      </c>
      <c r="Z64" s="6" t="s">
        <v>34</v>
      </c>
      <c r="AA64" s="3" t="s">
        <v>34</v>
      </c>
      <c r="AB64" s="3" t="s">
        <v>34</v>
      </c>
      <c r="AC64" s="3" t="s">
        <v>34</v>
      </c>
      <c r="AD64" s="2" t="s">
        <v>34</v>
      </c>
      <c r="AE64" s="6" t="s">
        <v>337</v>
      </c>
      <c r="AF64" s="2" t="s">
        <v>53</v>
      </c>
      <c r="AG64" s="6">
        <v>25.7</v>
      </c>
      <c r="AH64" s="2" t="s">
        <v>638</v>
      </c>
      <c r="AI64" s="7" t="s">
        <v>843</v>
      </c>
    </row>
    <row r="65" spans="1:35" x14ac:dyDescent="0.3">
      <c r="A65" s="3" t="s">
        <v>143</v>
      </c>
      <c r="B65" s="4" t="s">
        <v>228</v>
      </c>
      <c r="C65" s="3" t="s">
        <v>333</v>
      </c>
      <c r="D65" s="5" t="s">
        <v>334</v>
      </c>
      <c r="E65" s="5" t="s">
        <v>335</v>
      </c>
      <c r="F65" s="3" t="str">
        <f t="shared" ref="F65:F96" si="11">CONCATENATE(D65, " ", E65)</f>
        <v>Lutjanus adetii</v>
      </c>
      <c r="G65" s="2" t="s">
        <v>687</v>
      </c>
      <c r="H65" s="6" t="s">
        <v>304</v>
      </c>
      <c r="I65" s="3">
        <v>0.18</v>
      </c>
      <c r="J65" s="3" t="s">
        <v>37</v>
      </c>
      <c r="K65" s="3" t="s">
        <v>33</v>
      </c>
      <c r="L65" s="3" t="s">
        <v>336</v>
      </c>
      <c r="M65" s="6">
        <v>24</v>
      </c>
      <c r="N65" s="2" t="s">
        <v>336</v>
      </c>
      <c r="O65" s="10" t="s">
        <v>34</v>
      </c>
      <c r="P65" s="2" t="s">
        <v>34</v>
      </c>
      <c r="Q65" s="6">
        <v>0.16520000000000001</v>
      </c>
      <c r="R65" s="3">
        <v>269.10000000000002</v>
      </c>
      <c r="S65" s="3">
        <v>-6.117</v>
      </c>
      <c r="T65" s="3">
        <f t="shared" ref="T65:T83" si="12">R65*(1-EXP(Q65*S65))</f>
        <v>171.14044810240955</v>
      </c>
      <c r="U65" s="3" t="s">
        <v>40</v>
      </c>
      <c r="V65" s="3" t="s">
        <v>50</v>
      </c>
      <c r="W65" s="3" t="s">
        <v>336</v>
      </c>
      <c r="X65" s="8">
        <f>(1.081*R65)/10</f>
        <v>29.089710000000004</v>
      </c>
      <c r="Y65" s="8">
        <f>(1.081*T65)/10</f>
        <v>18.500282439870471</v>
      </c>
      <c r="Z65" s="6" t="s">
        <v>34</v>
      </c>
      <c r="AA65" s="3" t="s">
        <v>34</v>
      </c>
      <c r="AB65" s="3" t="s">
        <v>34</v>
      </c>
      <c r="AC65" s="3" t="s">
        <v>34</v>
      </c>
      <c r="AD65" s="2" t="s">
        <v>34</v>
      </c>
      <c r="AE65" s="6" t="s">
        <v>337</v>
      </c>
      <c r="AF65" s="2" t="s">
        <v>53</v>
      </c>
      <c r="AG65" s="6">
        <v>25.7</v>
      </c>
      <c r="AH65" s="2" t="s">
        <v>638</v>
      </c>
      <c r="AI65" s="7" t="s">
        <v>844</v>
      </c>
    </row>
    <row r="66" spans="1:35" x14ac:dyDescent="0.3">
      <c r="A66" s="3" t="s">
        <v>143</v>
      </c>
      <c r="B66" s="4" t="s">
        <v>228</v>
      </c>
      <c r="C66" s="3" t="s">
        <v>333</v>
      </c>
      <c r="D66" s="5" t="s">
        <v>334</v>
      </c>
      <c r="E66" s="5" t="s">
        <v>338</v>
      </c>
      <c r="F66" s="3" t="str">
        <f t="shared" si="11"/>
        <v>Lutjanus analis</v>
      </c>
      <c r="G66" s="2" t="s">
        <v>688</v>
      </c>
      <c r="H66" s="6" t="s">
        <v>339</v>
      </c>
      <c r="I66" s="3">
        <v>0.13</v>
      </c>
      <c r="J66" s="3" t="s">
        <v>32</v>
      </c>
      <c r="K66" s="3" t="s">
        <v>210</v>
      </c>
      <c r="L66" s="3" t="s">
        <v>340</v>
      </c>
      <c r="M66" s="6">
        <v>40</v>
      </c>
      <c r="N66" s="2" t="s">
        <v>340</v>
      </c>
      <c r="O66" s="10">
        <v>2.0720000000000001</v>
      </c>
      <c r="P66" s="2" t="s">
        <v>341</v>
      </c>
      <c r="Q66" s="6">
        <v>0.16</v>
      </c>
      <c r="R66" s="3">
        <v>874.4</v>
      </c>
      <c r="S66" s="3">
        <v>-1.32</v>
      </c>
      <c r="T66" s="3">
        <f t="shared" si="12"/>
        <v>166.47515504744342</v>
      </c>
      <c r="U66" s="3" t="s">
        <v>40</v>
      </c>
      <c r="V66" s="3" t="s">
        <v>36</v>
      </c>
      <c r="W66" s="3" t="s">
        <v>341</v>
      </c>
      <c r="X66" s="8">
        <f>R66/10</f>
        <v>87.44</v>
      </c>
      <c r="Y66" s="8">
        <f>T66/10</f>
        <v>16.647515504744341</v>
      </c>
      <c r="Z66" s="6">
        <v>353.5</v>
      </c>
      <c r="AA66" s="3" t="s">
        <v>36</v>
      </c>
      <c r="AB66" s="3" t="s">
        <v>40</v>
      </c>
      <c r="AC66" s="3" t="s">
        <v>341</v>
      </c>
      <c r="AD66" s="9">
        <v>35.35</v>
      </c>
      <c r="AE66" s="6" t="s">
        <v>34</v>
      </c>
      <c r="AF66" s="2" t="s">
        <v>34</v>
      </c>
      <c r="AG66" s="6">
        <v>21</v>
      </c>
      <c r="AH66" s="2" t="s">
        <v>638</v>
      </c>
    </row>
    <row r="67" spans="1:35" x14ac:dyDescent="0.3">
      <c r="A67" s="3" t="s">
        <v>143</v>
      </c>
      <c r="B67" s="4" t="s">
        <v>228</v>
      </c>
      <c r="C67" s="3" t="s">
        <v>333</v>
      </c>
      <c r="D67" s="5" t="s">
        <v>334</v>
      </c>
      <c r="E67" s="5" t="s">
        <v>342</v>
      </c>
      <c r="F67" s="3" t="str">
        <f t="shared" si="11"/>
        <v>Lutjanus carponotatus</v>
      </c>
      <c r="G67" s="2" t="s">
        <v>343</v>
      </c>
      <c r="H67" s="6" t="s">
        <v>243</v>
      </c>
      <c r="I67" s="3">
        <v>0.19939999999999999</v>
      </c>
      <c r="J67" s="3" t="s">
        <v>32</v>
      </c>
      <c r="K67" s="3" t="s">
        <v>33</v>
      </c>
      <c r="L67" s="3" t="s">
        <v>344</v>
      </c>
      <c r="M67" s="6">
        <f>AVERAGE(18, 17, 20)</f>
        <v>18.333333333333332</v>
      </c>
      <c r="N67" s="2" t="s">
        <v>344</v>
      </c>
      <c r="O67" s="10">
        <v>1.9</v>
      </c>
      <c r="P67" s="2" t="s">
        <v>345</v>
      </c>
      <c r="Q67" s="6">
        <v>0.44900000000000001</v>
      </c>
      <c r="R67" s="3">
        <v>313</v>
      </c>
      <c r="S67" s="3">
        <v>-1.6E-2</v>
      </c>
      <c r="T67" s="3">
        <f t="shared" si="12"/>
        <v>2.2405343644332656</v>
      </c>
      <c r="U67" s="3" t="s">
        <v>40</v>
      </c>
      <c r="V67" s="3" t="s">
        <v>50</v>
      </c>
      <c r="W67" s="3" t="s">
        <v>344</v>
      </c>
      <c r="X67" s="8">
        <f>1.039*R67/10</f>
        <v>32.520699999999998</v>
      </c>
      <c r="Y67" s="8">
        <f>1.039*T67/10</f>
        <v>0.23279152046461626</v>
      </c>
      <c r="Z67" s="6">
        <v>182</v>
      </c>
      <c r="AA67" s="3" t="s">
        <v>50</v>
      </c>
      <c r="AB67" s="3" t="s">
        <v>40</v>
      </c>
      <c r="AC67" s="3" t="s">
        <v>345</v>
      </c>
      <c r="AD67" s="9">
        <v>18.909799999999997</v>
      </c>
      <c r="AE67" s="6" t="s">
        <v>346</v>
      </c>
      <c r="AF67" s="2" t="s">
        <v>53</v>
      </c>
      <c r="AG67" s="6">
        <v>25.7</v>
      </c>
      <c r="AH67" s="2" t="s">
        <v>638</v>
      </c>
      <c r="AI67" s="7" t="s">
        <v>347</v>
      </c>
    </row>
    <row r="68" spans="1:35" x14ac:dyDescent="0.3">
      <c r="A68" s="3" t="s">
        <v>143</v>
      </c>
      <c r="B68" s="4" t="s">
        <v>228</v>
      </c>
      <c r="C68" s="3" t="s">
        <v>333</v>
      </c>
      <c r="D68" s="5" t="s">
        <v>334</v>
      </c>
      <c r="E68" s="5" t="s">
        <v>348</v>
      </c>
      <c r="F68" s="3" t="str">
        <f t="shared" si="11"/>
        <v>Lutjanus erythropterus</v>
      </c>
      <c r="G68" s="2" t="s">
        <v>689</v>
      </c>
      <c r="H68" s="6" t="s">
        <v>304</v>
      </c>
      <c r="I68" s="3">
        <v>0.14949999999999999</v>
      </c>
      <c r="J68" s="3" t="s">
        <v>32</v>
      </c>
      <c r="K68" s="3" t="s">
        <v>33</v>
      </c>
      <c r="L68" s="3" t="s">
        <v>349</v>
      </c>
      <c r="M68" s="6">
        <v>32</v>
      </c>
      <c r="N68" s="2" t="s">
        <v>349</v>
      </c>
      <c r="O68" s="10">
        <v>4.7304335682360055</v>
      </c>
      <c r="P68" s="2" t="s">
        <v>34</v>
      </c>
      <c r="Q68" s="6">
        <v>0.39219999999999999</v>
      </c>
      <c r="R68" s="3">
        <v>584.5</v>
      </c>
      <c r="S68" s="3">
        <v>0.17680000000000001</v>
      </c>
      <c r="T68" s="3">
        <f t="shared" si="12"/>
        <v>-41.968028375681804</v>
      </c>
      <c r="U68" s="3" t="s">
        <v>40</v>
      </c>
      <c r="V68" s="3" t="s">
        <v>50</v>
      </c>
      <c r="W68" s="3" t="s">
        <v>349</v>
      </c>
      <c r="X68" s="8">
        <f>(0.06 + 1.05*R68)/10</f>
        <v>61.378499999999995</v>
      </c>
      <c r="Y68" s="8">
        <f>(0.06 + 1.05*T68)/10</f>
        <v>-4.4006429794465891</v>
      </c>
      <c r="Z68" s="6">
        <v>48.6</v>
      </c>
      <c r="AA68" s="3" t="s">
        <v>50</v>
      </c>
      <c r="AB68" s="3" t="s">
        <v>35</v>
      </c>
      <c r="AC68" s="3" t="s">
        <v>350</v>
      </c>
      <c r="AD68" s="9">
        <v>51.09</v>
      </c>
      <c r="AE68" s="6" t="s">
        <v>351</v>
      </c>
      <c r="AF68" s="2" t="s">
        <v>53</v>
      </c>
      <c r="AG68" s="6">
        <v>25.9</v>
      </c>
      <c r="AH68" s="2" t="s">
        <v>638</v>
      </c>
      <c r="AI68" s="7" t="s">
        <v>352</v>
      </c>
    </row>
    <row r="69" spans="1:35" x14ac:dyDescent="0.3">
      <c r="A69" s="3" t="s">
        <v>143</v>
      </c>
      <c r="B69" s="4" t="s">
        <v>228</v>
      </c>
      <c r="C69" s="3" t="s">
        <v>333</v>
      </c>
      <c r="D69" s="5" t="s">
        <v>334</v>
      </c>
      <c r="E69" s="5" t="s">
        <v>353</v>
      </c>
      <c r="F69" s="3" t="str">
        <f t="shared" si="11"/>
        <v>Lutjanus malabaricus</v>
      </c>
      <c r="G69" s="2" t="s">
        <v>690</v>
      </c>
      <c r="H69" s="6" t="s">
        <v>354</v>
      </c>
      <c r="I69" s="3">
        <v>0.115</v>
      </c>
      <c r="J69" s="3" t="s">
        <v>32</v>
      </c>
      <c r="K69" s="3" t="s">
        <v>33</v>
      </c>
      <c r="L69" s="3" t="s">
        <v>355</v>
      </c>
      <c r="M69" s="6">
        <f>AVERAGE(31, 26)</f>
        <v>28.5</v>
      </c>
      <c r="N69" s="2" t="s">
        <v>355</v>
      </c>
      <c r="O69" s="10">
        <v>8.6683058590823983</v>
      </c>
      <c r="P69" s="2" t="s">
        <v>34</v>
      </c>
      <c r="Q69" s="6">
        <v>0.22500000000000001</v>
      </c>
      <c r="R69" s="3">
        <v>622.79999999999995</v>
      </c>
      <c r="S69" s="3">
        <v>-0.09</v>
      </c>
      <c r="T69" s="3">
        <f t="shared" si="12"/>
        <v>12.484864122459651</v>
      </c>
      <c r="U69" s="3" t="s">
        <v>40</v>
      </c>
      <c r="V69" s="3" t="s">
        <v>50</v>
      </c>
      <c r="W69" s="3" t="s">
        <v>355</v>
      </c>
      <c r="X69" s="8">
        <f>(-2.58377 +( 1.03988241*R69))/10</f>
        <v>64.505499494799992</v>
      </c>
      <c r="Y69" s="8">
        <f>(-2.58377 +( 1.03988241*T69))/10</f>
        <v>1.0399020592185877</v>
      </c>
      <c r="Z69" s="6">
        <f>AVERAGE(558, 514)</f>
        <v>536</v>
      </c>
      <c r="AA69" s="3" t="s">
        <v>50</v>
      </c>
      <c r="AB69" s="3" t="s">
        <v>40</v>
      </c>
      <c r="AC69" s="3" t="s">
        <v>355</v>
      </c>
      <c r="AD69" s="9">
        <v>55.479320176000002</v>
      </c>
      <c r="AE69" s="6" t="s">
        <v>356</v>
      </c>
      <c r="AF69" s="2" t="s">
        <v>355</v>
      </c>
      <c r="AG69" s="6">
        <v>26.9</v>
      </c>
      <c r="AH69" s="2" t="s">
        <v>638</v>
      </c>
      <c r="AI69" s="7" t="s">
        <v>357</v>
      </c>
    </row>
    <row r="70" spans="1:35" x14ac:dyDescent="0.3">
      <c r="A70" s="3" t="s">
        <v>143</v>
      </c>
      <c r="B70" s="4" t="s">
        <v>228</v>
      </c>
      <c r="C70" s="3" t="s">
        <v>333</v>
      </c>
      <c r="D70" s="5" t="s">
        <v>334</v>
      </c>
      <c r="E70" s="5" t="s">
        <v>358</v>
      </c>
      <c r="F70" s="3" t="str">
        <f t="shared" si="11"/>
        <v>Lutjanus quinquelineatus</v>
      </c>
      <c r="G70" s="2" t="s">
        <v>691</v>
      </c>
      <c r="H70" s="6" t="s">
        <v>304</v>
      </c>
      <c r="I70" s="3">
        <v>0.13200000000000001</v>
      </c>
      <c r="J70" s="3" t="s">
        <v>38</v>
      </c>
      <c r="K70" s="3" t="s">
        <v>33</v>
      </c>
      <c r="L70" s="3" t="s">
        <v>336</v>
      </c>
      <c r="M70" s="6">
        <v>31</v>
      </c>
      <c r="N70" s="2" t="s">
        <v>336</v>
      </c>
      <c r="O70" s="10" t="s">
        <v>34</v>
      </c>
      <c r="P70" s="2" t="s">
        <v>34</v>
      </c>
      <c r="Q70" s="6">
        <v>0.16639999999999999</v>
      </c>
      <c r="R70" s="3">
        <v>204.3</v>
      </c>
      <c r="S70" s="3">
        <v>-7.5519999999999996</v>
      </c>
      <c r="T70" s="3">
        <f t="shared" si="12"/>
        <v>146.15518541954091</v>
      </c>
      <c r="U70" s="3" t="s">
        <v>40</v>
      </c>
      <c r="V70" s="3" t="s">
        <v>50</v>
      </c>
      <c r="W70" s="3" t="s">
        <v>336</v>
      </c>
      <c r="X70" s="8">
        <f>(1.0695*R70)/10</f>
        <v>21.849885</v>
      </c>
      <c r="Y70" s="8">
        <f>(1.0695*T70)/10</f>
        <v>15.631297080619898</v>
      </c>
      <c r="Z70" s="6" t="s">
        <v>34</v>
      </c>
      <c r="AA70" s="3" t="s">
        <v>34</v>
      </c>
      <c r="AB70" s="3" t="s">
        <v>34</v>
      </c>
      <c r="AC70" s="3" t="s">
        <v>34</v>
      </c>
      <c r="AD70" s="2" t="s">
        <v>34</v>
      </c>
      <c r="AE70" s="6" t="s">
        <v>359</v>
      </c>
      <c r="AF70" s="2" t="s">
        <v>53</v>
      </c>
      <c r="AG70" s="6">
        <v>25.7</v>
      </c>
      <c r="AH70" s="2" t="s">
        <v>638</v>
      </c>
      <c r="AI70" s="7" t="s">
        <v>845</v>
      </c>
    </row>
    <row r="71" spans="1:35" x14ac:dyDescent="0.3">
      <c r="A71" s="3" t="s">
        <v>143</v>
      </c>
      <c r="B71" s="4" t="s">
        <v>228</v>
      </c>
      <c r="C71" s="3" t="s">
        <v>333</v>
      </c>
      <c r="D71" s="5" t="s">
        <v>334</v>
      </c>
      <c r="E71" s="5" t="s">
        <v>358</v>
      </c>
      <c r="F71" s="3" t="str">
        <f t="shared" si="11"/>
        <v>Lutjanus quinquelineatus</v>
      </c>
      <c r="G71" s="2" t="s">
        <v>691</v>
      </c>
      <c r="H71" s="6" t="s">
        <v>304</v>
      </c>
      <c r="I71" s="3">
        <v>0.126</v>
      </c>
      <c r="J71" s="3" t="s">
        <v>37</v>
      </c>
      <c r="K71" s="3" t="s">
        <v>33</v>
      </c>
      <c r="L71" s="3" t="s">
        <v>336</v>
      </c>
      <c r="M71" s="6">
        <v>30</v>
      </c>
      <c r="N71" s="2" t="s">
        <v>336</v>
      </c>
      <c r="O71" s="10" t="s">
        <v>34</v>
      </c>
      <c r="P71" s="2" t="s">
        <v>34</v>
      </c>
      <c r="Q71" s="6">
        <v>0.25990000000000002</v>
      </c>
      <c r="R71" s="3">
        <v>214.5</v>
      </c>
      <c r="S71" s="3">
        <v>-3.427</v>
      </c>
      <c r="T71" s="3">
        <f t="shared" si="12"/>
        <v>126.4739812519996</v>
      </c>
      <c r="U71" s="3" t="s">
        <v>40</v>
      </c>
      <c r="V71" s="3" t="s">
        <v>50</v>
      </c>
      <c r="W71" s="3" t="s">
        <v>336</v>
      </c>
      <c r="X71" s="8">
        <f>(1.0695*R71)/10</f>
        <v>22.940774999999995</v>
      </c>
      <c r="Y71" s="8">
        <f>(1.0695*T71)/10</f>
        <v>13.526392294901356</v>
      </c>
      <c r="Z71" s="6" t="s">
        <v>34</v>
      </c>
      <c r="AA71" s="3" t="s">
        <v>34</v>
      </c>
      <c r="AB71" s="3" t="s">
        <v>34</v>
      </c>
      <c r="AC71" s="3" t="s">
        <v>34</v>
      </c>
      <c r="AD71" s="2" t="s">
        <v>34</v>
      </c>
      <c r="AE71" s="6" t="s">
        <v>359</v>
      </c>
      <c r="AF71" s="2" t="s">
        <v>53</v>
      </c>
      <c r="AG71" s="6">
        <v>25.7</v>
      </c>
      <c r="AH71" s="2" t="s">
        <v>638</v>
      </c>
      <c r="AI71" s="7" t="s">
        <v>845</v>
      </c>
    </row>
    <row r="72" spans="1:35" x14ac:dyDescent="0.3">
      <c r="A72" s="3" t="s">
        <v>143</v>
      </c>
      <c r="B72" s="4" t="s">
        <v>228</v>
      </c>
      <c r="C72" s="3" t="s">
        <v>333</v>
      </c>
      <c r="D72" s="5" t="s">
        <v>334</v>
      </c>
      <c r="E72" s="5" t="s">
        <v>360</v>
      </c>
      <c r="F72" s="3" t="str">
        <f t="shared" si="11"/>
        <v>Lutjanus russelli</v>
      </c>
      <c r="G72" s="2" t="s">
        <v>361</v>
      </c>
      <c r="H72" s="6" t="s">
        <v>56</v>
      </c>
      <c r="I72" s="3">
        <v>0.152</v>
      </c>
      <c r="J72" s="3" t="s">
        <v>32</v>
      </c>
      <c r="K72" s="3" t="s">
        <v>33</v>
      </c>
      <c r="L72" s="3" t="s">
        <v>362</v>
      </c>
      <c r="M72" s="6">
        <f>AVERAGE(21, 20)</f>
        <v>20.5</v>
      </c>
      <c r="N72" s="2" t="s">
        <v>362</v>
      </c>
      <c r="O72" s="10" t="s">
        <v>34</v>
      </c>
      <c r="P72" s="2" t="s">
        <v>34</v>
      </c>
      <c r="Q72" s="6">
        <v>0.34699999999999998</v>
      </c>
      <c r="R72" s="3">
        <v>330.1</v>
      </c>
      <c r="S72" s="3">
        <v>-0.27</v>
      </c>
      <c r="T72" s="3">
        <f t="shared" si="12"/>
        <v>29.522495599215382</v>
      </c>
      <c r="U72" s="3" t="s">
        <v>40</v>
      </c>
      <c r="V72" s="3" t="s">
        <v>50</v>
      </c>
      <c r="W72" s="3" t="s">
        <v>362</v>
      </c>
      <c r="X72" s="8">
        <f>(3.3597+(1.0675 *R72))/10</f>
        <v>35.574145000000001</v>
      </c>
      <c r="Y72" s="8">
        <f>(3.3597+(1.0675 *T72))/10</f>
        <v>3.487496405216242</v>
      </c>
      <c r="Z72" s="6" t="s">
        <v>34</v>
      </c>
      <c r="AA72" s="3" t="s">
        <v>34</v>
      </c>
      <c r="AB72" s="3" t="s">
        <v>34</v>
      </c>
      <c r="AC72" s="3" t="s">
        <v>34</v>
      </c>
      <c r="AD72" s="2" t="s">
        <v>34</v>
      </c>
      <c r="AE72" s="6" t="s">
        <v>363</v>
      </c>
      <c r="AF72" s="2" t="s">
        <v>362</v>
      </c>
      <c r="AG72" s="6">
        <v>26.9</v>
      </c>
      <c r="AH72" s="2" t="s">
        <v>638</v>
      </c>
      <c r="AI72" s="7" t="s">
        <v>364</v>
      </c>
    </row>
    <row r="73" spans="1:35" x14ac:dyDescent="0.3">
      <c r="A73" s="3" t="s">
        <v>143</v>
      </c>
      <c r="B73" s="4" t="s">
        <v>228</v>
      </c>
      <c r="C73" s="3" t="s">
        <v>333</v>
      </c>
      <c r="D73" s="5" t="s">
        <v>334</v>
      </c>
      <c r="E73" s="5" t="s">
        <v>365</v>
      </c>
      <c r="F73" s="3" t="str">
        <f t="shared" si="11"/>
        <v>Lutjanus vitta</v>
      </c>
      <c r="G73" s="2" t="s">
        <v>692</v>
      </c>
      <c r="H73" s="6" t="s">
        <v>243</v>
      </c>
      <c r="I73" s="3">
        <v>0.34239999999999998</v>
      </c>
      <c r="J73" s="3" t="s">
        <v>32</v>
      </c>
      <c r="K73" s="3" t="s">
        <v>33</v>
      </c>
      <c r="L73" s="3" t="s">
        <v>344</v>
      </c>
      <c r="M73" s="6">
        <f>AVERAGE(9, 12)</f>
        <v>10.5</v>
      </c>
      <c r="N73" s="2" t="s">
        <v>344</v>
      </c>
      <c r="O73" s="10" t="s">
        <v>34</v>
      </c>
      <c r="P73" s="2" t="s">
        <v>34</v>
      </c>
      <c r="Q73" s="6">
        <v>0.85299999999999998</v>
      </c>
      <c r="R73" s="3">
        <v>245.3</v>
      </c>
      <c r="S73" s="3">
        <v>-0.17899999999999999</v>
      </c>
      <c r="T73" s="3">
        <f t="shared" si="12"/>
        <v>34.734882671292155</v>
      </c>
      <c r="U73" s="3" t="s">
        <v>40</v>
      </c>
      <c r="V73" s="3" t="s">
        <v>50</v>
      </c>
      <c r="W73" s="3" t="s">
        <v>344</v>
      </c>
      <c r="X73" s="8">
        <f>1.034*R73/10</f>
        <v>25.364020000000004</v>
      </c>
      <c r="Y73" s="8">
        <f>1.034*T73/10</f>
        <v>3.5915868682116092</v>
      </c>
      <c r="Z73" s="6" t="s">
        <v>34</v>
      </c>
      <c r="AA73" s="3" t="s">
        <v>34</v>
      </c>
      <c r="AB73" s="3" t="s">
        <v>34</v>
      </c>
      <c r="AC73" s="3" t="s">
        <v>34</v>
      </c>
      <c r="AD73" s="2" t="s">
        <v>34</v>
      </c>
      <c r="AE73" s="6" t="s">
        <v>366</v>
      </c>
      <c r="AF73" s="2" t="s">
        <v>53</v>
      </c>
      <c r="AG73" s="6">
        <v>25.7</v>
      </c>
      <c r="AH73" s="2" t="s">
        <v>638</v>
      </c>
      <c r="AI73" s="7" t="s">
        <v>367</v>
      </c>
    </row>
    <row r="74" spans="1:35" x14ac:dyDescent="0.3">
      <c r="A74" s="3" t="s">
        <v>143</v>
      </c>
      <c r="B74" s="4" t="s">
        <v>228</v>
      </c>
      <c r="C74" s="3" t="s">
        <v>368</v>
      </c>
      <c r="D74" s="5" t="s">
        <v>369</v>
      </c>
      <c r="E74" s="5" t="s">
        <v>184</v>
      </c>
      <c r="F74" s="3" t="str">
        <f t="shared" si="11"/>
        <v>Nemipterus japonicus</v>
      </c>
      <c r="G74" s="2" t="s">
        <v>370</v>
      </c>
      <c r="H74" s="6" t="s">
        <v>371</v>
      </c>
      <c r="I74" s="3">
        <v>0.50370000000000004</v>
      </c>
      <c r="J74" s="3" t="s">
        <v>32</v>
      </c>
      <c r="K74" s="3" t="s">
        <v>39</v>
      </c>
      <c r="L74" s="3" t="s">
        <v>372</v>
      </c>
      <c r="M74" s="6">
        <v>4</v>
      </c>
      <c r="N74" s="2" t="s">
        <v>373</v>
      </c>
      <c r="O74" s="10">
        <v>1.1167601688357551</v>
      </c>
      <c r="P74" s="2" t="s">
        <v>34</v>
      </c>
      <c r="Q74" s="6">
        <f>AVERAGE(0.3141, 0.648, 0.2941)</f>
        <v>0.41873333333333335</v>
      </c>
      <c r="R74" s="3">
        <f>AVERAGE(305.43, 208.7, 302.63)</f>
        <v>272.25333333333333</v>
      </c>
      <c r="S74" s="3">
        <v>-1.1079000000000001</v>
      </c>
      <c r="T74" s="3">
        <f t="shared" si="12"/>
        <v>101.05575037281211</v>
      </c>
      <c r="U74" s="3" t="s">
        <v>40</v>
      </c>
      <c r="V74" s="3" t="s">
        <v>34</v>
      </c>
      <c r="W74" s="3" t="s">
        <v>373</v>
      </c>
      <c r="X74" s="8">
        <f>R74/10</f>
        <v>27.225333333333332</v>
      </c>
      <c r="Y74" s="8">
        <f>T74/10</f>
        <v>10.105575037281211</v>
      </c>
      <c r="Z74" s="6">
        <v>165</v>
      </c>
      <c r="AA74" s="3" t="s">
        <v>34</v>
      </c>
      <c r="AB74" s="3" t="s">
        <v>40</v>
      </c>
      <c r="AC74" s="3" t="s">
        <v>373</v>
      </c>
      <c r="AD74" s="9">
        <v>16.5</v>
      </c>
      <c r="AE74" s="6" t="s">
        <v>34</v>
      </c>
      <c r="AF74" s="2" t="s">
        <v>34</v>
      </c>
      <c r="AG74" s="6">
        <v>28</v>
      </c>
      <c r="AH74" s="2" t="s">
        <v>638</v>
      </c>
      <c r="AI74" s="7" t="s">
        <v>374</v>
      </c>
    </row>
    <row r="75" spans="1:35" x14ac:dyDescent="0.3">
      <c r="A75" s="3" t="s">
        <v>143</v>
      </c>
      <c r="B75" s="4" t="s">
        <v>228</v>
      </c>
      <c r="C75" s="3" t="s">
        <v>375</v>
      </c>
      <c r="D75" s="5" t="s">
        <v>376</v>
      </c>
      <c r="E75" s="5" t="s">
        <v>377</v>
      </c>
      <c r="F75" s="3" t="str">
        <f t="shared" si="11"/>
        <v>Notothenia neglecta</v>
      </c>
      <c r="G75" s="2" t="s">
        <v>693</v>
      </c>
      <c r="H75" s="6" t="s">
        <v>378</v>
      </c>
      <c r="I75" s="3">
        <v>0.36</v>
      </c>
      <c r="J75" s="3" t="s">
        <v>32</v>
      </c>
      <c r="K75" s="3" t="s">
        <v>33</v>
      </c>
      <c r="L75" s="3" t="s">
        <v>379</v>
      </c>
      <c r="M75" s="6">
        <v>18</v>
      </c>
      <c r="N75" s="2" t="s">
        <v>379</v>
      </c>
      <c r="O75" s="10">
        <v>9</v>
      </c>
      <c r="P75" s="2" t="s">
        <v>379</v>
      </c>
      <c r="Q75" s="6">
        <f>AVERAGE(0.091, 0.129)</f>
        <v>0.11</v>
      </c>
      <c r="R75" s="3">
        <v>42.834776922137145</v>
      </c>
      <c r="S75" s="3">
        <f>AVERAGE(1.7, 0.8)*-1</f>
        <v>-1.25</v>
      </c>
      <c r="T75" s="3">
        <f t="shared" si="12"/>
        <v>5.5027974600290905</v>
      </c>
      <c r="U75" s="3" t="s">
        <v>40</v>
      </c>
      <c r="V75" s="3" t="s">
        <v>34</v>
      </c>
      <c r="W75" s="3" t="s">
        <v>379</v>
      </c>
      <c r="X75" s="8">
        <f>R75</f>
        <v>42.834776922137145</v>
      </c>
      <c r="Y75" s="8">
        <f>T75/10</f>
        <v>0.55027974600290908</v>
      </c>
      <c r="Z75" s="6" t="s">
        <v>34</v>
      </c>
      <c r="AA75" s="3" t="s">
        <v>34</v>
      </c>
      <c r="AB75" s="3" t="s">
        <v>34</v>
      </c>
      <c r="AC75" s="3" t="s">
        <v>641</v>
      </c>
      <c r="AD75" s="2">
        <v>27.12284337989815</v>
      </c>
      <c r="AE75" s="6" t="s">
        <v>34</v>
      </c>
      <c r="AF75" s="2" t="s">
        <v>34</v>
      </c>
      <c r="AG75" s="6">
        <v>17</v>
      </c>
      <c r="AH75" s="2" t="s">
        <v>638</v>
      </c>
      <c r="AI75" s="7" t="s">
        <v>864</v>
      </c>
    </row>
    <row r="76" spans="1:35" x14ac:dyDescent="0.3">
      <c r="A76" s="3" t="s">
        <v>143</v>
      </c>
      <c r="B76" s="4" t="s">
        <v>228</v>
      </c>
      <c r="C76" s="3" t="s">
        <v>375</v>
      </c>
      <c r="D76" s="5" t="s">
        <v>380</v>
      </c>
      <c r="E76" s="5" t="s">
        <v>658</v>
      </c>
      <c r="F76" s="3" t="str">
        <f t="shared" si="11"/>
        <v>Patagonotothen brevicauda shagensis</v>
      </c>
      <c r="G76" s="2" t="s">
        <v>381</v>
      </c>
      <c r="H76" s="6" t="s">
        <v>382</v>
      </c>
      <c r="I76" s="3">
        <v>0.8</v>
      </c>
      <c r="J76" s="3" t="s">
        <v>32</v>
      </c>
      <c r="K76" s="3" t="s">
        <v>33</v>
      </c>
      <c r="L76" s="3" t="s">
        <v>383</v>
      </c>
      <c r="M76" s="6">
        <v>7</v>
      </c>
      <c r="N76" s="2" t="s">
        <v>383</v>
      </c>
      <c r="O76" s="10">
        <v>2.5</v>
      </c>
      <c r="P76" s="2" t="s">
        <v>383</v>
      </c>
      <c r="Q76" s="6">
        <v>0.32579999999999998</v>
      </c>
      <c r="R76" s="3">
        <v>23.31</v>
      </c>
      <c r="S76" s="3">
        <v>0.1149</v>
      </c>
      <c r="T76" s="3">
        <f t="shared" si="12"/>
        <v>-0.88913462069073179</v>
      </c>
      <c r="U76" s="3" t="s">
        <v>35</v>
      </c>
      <c r="V76" s="3" t="s">
        <v>34</v>
      </c>
      <c r="W76" s="3" t="s">
        <v>383</v>
      </c>
      <c r="X76" s="8">
        <f>R76</f>
        <v>23.31</v>
      </c>
      <c r="Y76" s="8">
        <f>T76</f>
        <v>-0.88913462069073179</v>
      </c>
      <c r="Z76" s="6">
        <f>AVERAGE(11,13)</f>
        <v>12</v>
      </c>
      <c r="AA76" s="3" t="s">
        <v>34</v>
      </c>
      <c r="AB76" s="3" t="s">
        <v>35</v>
      </c>
      <c r="AC76" s="3" t="s">
        <v>383</v>
      </c>
      <c r="AD76" s="9">
        <v>12</v>
      </c>
      <c r="AE76" s="6" t="s">
        <v>34</v>
      </c>
      <c r="AF76" s="2" t="s">
        <v>34</v>
      </c>
      <c r="AG76" s="6">
        <v>5.9</v>
      </c>
      <c r="AH76" s="2" t="s">
        <v>638</v>
      </c>
      <c r="AI76" s="7" t="s">
        <v>176</v>
      </c>
    </row>
    <row r="77" spans="1:35" x14ac:dyDescent="0.3">
      <c r="A77" s="3" t="s">
        <v>143</v>
      </c>
      <c r="B77" s="4" t="s">
        <v>228</v>
      </c>
      <c r="C77" s="3" t="s">
        <v>384</v>
      </c>
      <c r="D77" s="5" t="s">
        <v>385</v>
      </c>
      <c r="E77" s="5" t="s">
        <v>386</v>
      </c>
      <c r="F77" s="3" t="str">
        <f t="shared" si="11"/>
        <v>Stegastes acapulcoensis</v>
      </c>
      <c r="G77" s="2" t="s">
        <v>694</v>
      </c>
      <c r="H77" s="6" t="s">
        <v>387</v>
      </c>
      <c r="I77" s="3">
        <v>0.1346</v>
      </c>
      <c r="J77" s="3" t="s">
        <v>32</v>
      </c>
      <c r="K77" s="3" t="s">
        <v>33</v>
      </c>
      <c r="L77" s="3" t="s">
        <v>388</v>
      </c>
      <c r="M77" s="6">
        <v>32</v>
      </c>
      <c r="N77" s="2" t="s">
        <v>388</v>
      </c>
      <c r="O77" s="10" t="s">
        <v>34</v>
      </c>
      <c r="P77" s="2" t="s">
        <v>34</v>
      </c>
      <c r="Q77" s="6">
        <v>0.77</v>
      </c>
      <c r="R77" s="3">
        <v>118.8</v>
      </c>
      <c r="S77" s="3">
        <v>-0.1</v>
      </c>
      <c r="T77" s="3">
        <f t="shared" si="12"/>
        <v>8.804285391548353</v>
      </c>
      <c r="U77" s="3" t="s">
        <v>40</v>
      </c>
      <c r="V77" s="3" t="s">
        <v>150</v>
      </c>
      <c r="W77" s="3" t="s">
        <v>388</v>
      </c>
      <c r="X77" s="8">
        <f>1.276*R77/10</f>
        <v>15.15888</v>
      </c>
      <c r="Y77" s="8">
        <f>1.276*T77/10</f>
        <v>1.1234268159615699</v>
      </c>
      <c r="Z77" s="6" t="s">
        <v>34</v>
      </c>
      <c r="AA77" s="3" t="s">
        <v>34</v>
      </c>
      <c r="AB77" s="3" t="s">
        <v>34</v>
      </c>
      <c r="AC77" s="3" t="s">
        <v>34</v>
      </c>
      <c r="AD77" s="2" t="s">
        <v>34</v>
      </c>
      <c r="AE77" s="6" t="s">
        <v>389</v>
      </c>
      <c r="AF77" s="2" t="s">
        <v>53</v>
      </c>
      <c r="AG77" s="6">
        <v>23.55</v>
      </c>
      <c r="AH77" s="2" t="s">
        <v>388</v>
      </c>
      <c r="AI77" s="7" t="s">
        <v>846</v>
      </c>
    </row>
    <row r="78" spans="1:35" x14ac:dyDescent="0.3">
      <c r="A78" s="3" t="s">
        <v>143</v>
      </c>
      <c r="B78" s="4" t="s">
        <v>228</v>
      </c>
      <c r="C78" s="3" t="s">
        <v>384</v>
      </c>
      <c r="D78" s="5" t="s">
        <v>385</v>
      </c>
      <c r="E78" s="5" t="s">
        <v>386</v>
      </c>
      <c r="F78" s="3" t="str">
        <f t="shared" si="11"/>
        <v>Stegastes acapulcoensis</v>
      </c>
      <c r="G78" s="2" t="s">
        <v>694</v>
      </c>
      <c r="H78" s="6" t="s">
        <v>390</v>
      </c>
      <c r="I78" s="3">
        <v>0.40100000000000002</v>
      </c>
      <c r="J78" s="3" t="s">
        <v>32</v>
      </c>
      <c r="K78" s="3" t="s">
        <v>33</v>
      </c>
      <c r="L78" s="3" t="s">
        <v>388</v>
      </c>
      <c r="M78" s="6">
        <v>12</v>
      </c>
      <c r="N78" s="2" t="s">
        <v>388</v>
      </c>
      <c r="O78" s="10" t="s">
        <v>34</v>
      </c>
      <c r="P78" s="2" t="s">
        <v>34</v>
      </c>
      <c r="Q78" s="6">
        <v>1.08</v>
      </c>
      <c r="R78" s="3">
        <v>111.5</v>
      </c>
      <c r="S78" s="3">
        <v>-0.1</v>
      </c>
      <c r="T78" s="3">
        <f t="shared" si="12"/>
        <v>11.414522998006511</v>
      </c>
      <c r="U78" s="3" t="s">
        <v>40</v>
      </c>
      <c r="V78" s="3" t="s">
        <v>150</v>
      </c>
      <c r="W78" s="3" t="s">
        <v>388</v>
      </c>
      <c r="X78" s="8">
        <f>1.276*R78/10</f>
        <v>14.227399999999999</v>
      </c>
      <c r="Y78" s="8">
        <f>1.276*T78/10</f>
        <v>1.4564931345456309</v>
      </c>
      <c r="Z78" s="6" t="s">
        <v>34</v>
      </c>
      <c r="AA78" s="3" t="s">
        <v>34</v>
      </c>
      <c r="AB78" s="3" t="s">
        <v>34</v>
      </c>
      <c r="AC78" s="3" t="s">
        <v>34</v>
      </c>
      <c r="AD78" s="2" t="s">
        <v>34</v>
      </c>
      <c r="AE78" s="6" t="s">
        <v>389</v>
      </c>
      <c r="AF78" s="2" t="s">
        <v>53</v>
      </c>
      <c r="AG78" s="6">
        <v>27.15</v>
      </c>
      <c r="AH78" s="2" t="s">
        <v>388</v>
      </c>
      <c r="AI78" s="7" t="s">
        <v>846</v>
      </c>
    </row>
    <row r="79" spans="1:35" x14ac:dyDescent="0.3">
      <c r="A79" s="3" t="s">
        <v>143</v>
      </c>
      <c r="B79" s="4" t="s">
        <v>228</v>
      </c>
      <c r="C79" s="3" t="s">
        <v>384</v>
      </c>
      <c r="D79" s="5" t="s">
        <v>385</v>
      </c>
      <c r="E79" s="5" t="s">
        <v>391</v>
      </c>
      <c r="F79" s="3" t="str">
        <f t="shared" si="11"/>
        <v>Stegastes arcifrons</v>
      </c>
      <c r="G79" s="2" t="s">
        <v>695</v>
      </c>
      <c r="H79" s="6" t="s">
        <v>387</v>
      </c>
      <c r="I79" s="3">
        <v>0.14710000000000001</v>
      </c>
      <c r="J79" s="3" t="s">
        <v>32</v>
      </c>
      <c r="K79" s="3" t="s">
        <v>33</v>
      </c>
      <c r="L79" s="3" t="s">
        <v>388</v>
      </c>
      <c r="M79" s="6">
        <v>27</v>
      </c>
      <c r="N79" s="2" t="s">
        <v>388</v>
      </c>
      <c r="O79" s="10" t="s">
        <v>34</v>
      </c>
      <c r="P79" s="2" t="s">
        <v>34</v>
      </c>
      <c r="Q79" s="6">
        <v>0.75</v>
      </c>
      <c r="R79" s="3">
        <v>103.8</v>
      </c>
      <c r="S79" s="3">
        <v>-0.1</v>
      </c>
      <c r="T79" s="3">
        <f t="shared" si="12"/>
        <v>7.5002261190962134</v>
      </c>
      <c r="U79" s="3" t="s">
        <v>40</v>
      </c>
      <c r="V79" s="3" t="s">
        <v>150</v>
      </c>
      <c r="W79" s="3" t="s">
        <v>388</v>
      </c>
      <c r="X79" s="8">
        <f>1.258*R79/10</f>
        <v>13.05804</v>
      </c>
      <c r="Y79" s="8">
        <f>1.258*T79/10</f>
        <v>0.94352844578230355</v>
      </c>
      <c r="Z79" s="6" t="s">
        <v>34</v>
      </c>
      <c r="AA79" s="3" t="s">
        <v>34</v>
      </c>
      <c r="AB79" s="3" t="s">
        <v>34</v>
      </c>
      <c r="AC79" s="3" t="s">
        <v>34</v>
      </c>
      <c r="AD79" s="2" t="s">
        <v>34</v>
      </c>
      <c r="AE79" s="6" t="s">
        <v>392</v>
      </c>
      <c r="AF79" s="2" t="s">
        <v>53</v>
      </c>
      <c r="AG79" s="6">
        <v>23.55</v>
      </c>
      <c r="AH79" s="2" t="s">
        <v>388</v>
      </c>
      <c r="AI79" s="7" t="s">
        <v>846</v>
      </c>
    </row>
    <row r="80" spans="1:35" x14ac:dyDescent="0.3">
      <c r="A80" s="3" t="s">
        <v>143</v>
      </c>
      <c r="B80" s="4" t="s">
        <v>228</v>
      </c>
      <c r="C80" s="3" t="s">
        <v>384</v>
      </c>
      <c r="D80" s="5" t="s">
        <v>385</v>
      </c>
      <c r="E80" s="5" t="s">
        <v>393</v>
      </c>
      <c r="F80" s="3" t="str">
        <f t="shared" si="11"/>
        <v>Stegastes beebei</v>
      </c>
      <c r="G80" s="2" t="s">
        <v>694</v>
      </c>
      <c r="H80" s="6" t="s">
        <v>387</v>
      </c>
      <c r="I80" s="3">
        <v>0.2994</v>
      </c>
      <c r="J80" s="3" t="s">
        <v>32</v>
      </c>
      <c r="K80" s="3" t="s">
        <v>33</v>
      </c>
      <c r="L80" s="3" t="s">
        <v>388</v>
      </c>
      <c r="M80" s="6">
        <v>19</v>
      </c>
      <c r="N80" s="2" t="s">
        <v>388</v>
      </c>
      <c r="O80" s="10" t="s">
        <v>34</v>
      </c>
      <c r="P80" s="2" t="s">
        <v>34</v>
      </c>
      <c r="Q80" s="6">
        <v>0.7</v>
      </c>
      <c r="R80" s="3">
        <v>93.6</v>
      </c>
      <c r="S80" s="3">
        <v>-0.1</v>
      </c>
      <c r="T80" s="3">
        <f t="shared" si="12"/>
        <v>6.3279384568032411</v>
      </c>
      <c r="U80" s="3" t="s">
        <v>40</v>
      </c>
      <c r="V80" s="3" t="s">
        <v>150</v>
      </c>
      <c r="W80" s="3" t="s">
        <v>388</v>
      </c>
      <c r="X80" s="8">
        <f>1.241*R80/10</f>
        <v>11.61576</v>
      </c>
      <c r="Y80" s="8">
        <f>1.241*T80/10</f>
        <v>0.78529716248928227</v>
      </c>
      <c r="Z80" s="6" t="s">
        <v>34</v>
      </c>
      <c r="AA80" s="3" t="s">
        <v>34</v>
      </c>
      <c r="AB80" s="3" t="s">
        <v>34</v>
      </c>
      <c r="AC80" s="3" t="s">
        <v>34</v>
      </c>
      <c r="AD80" s="2" t="s">
        <v>34</v>
      </c>
      <c r="AE80" s="6" t="s">
        <v>394</v>
      </c>
      <c r="AF80" s="2" t="s">
        <v>53</v>
      </c>
      <c r="AG80" s="6">
        <v>23.55</v>
      </c>
      <c r="AH80" s="2" t="s">
        <v>388</v>
      </c>
      <c r="AI80" s="7" t="s">
        <v>846</v>
      </c>
    </row>
    <row r="81" spans="1:35" x14ac:dyDescent="0.3">
      <c r="A81" s="3" t="s">
        <v>143</v>
      </c>
      <c r="B81" s="4" t="s">
        <v>228</v>
      </c>
      <c r="C81" s="3" t="s">
        <v>384</v>
      </c>
      <c r="D81" s="5" t="s">
        <v>385</v>
      </c>
      <c r="E81" s="5" t="s">
        <v>395</v>
      </c>
      <c r="F81" s="3" t="str">
        <f t="shared" si="11"/>
        <v>Stegastes flavilatus</v>
      </c>
      <c r="G81" s="2" t="s">
        <v>694</v>
      </c>
      <c r="H81" s="6" t="s">
        <v>396</v>
      </c>
      <c r="I81" s="3">
        <v>7.5800000000000006E-2</v>
      </c>
      <c r="J81" s="3" t="s">
        <v>32</v>
      </c>
      <c r="K81" s="3" t="s">
        <v>33</v>
      </c>
      <c r="L81" s="3" t="s">
        <v>388</v>
      </c>
      <c r="M81" s="6">
        <v>19</v>
      </c>
      <c r="N81" s="2" t="s">
        <v>388</v>
      </c>
      <c r="O81" s="10" t="s">
        <v>34</v>
      </c>
      <c r="P81" s="2" t="s">
        <v>34</v>
      </c>
      <c r="Q81" s="6">
        <v>1.3</v>
      </c>
      <c r="R81" s="3">
        <v>97.2</v>
      </c>
      <c r="S81" s="3">
        <v>-0.1</v>
      </c>
      <c r="T81" s="3">
        <f t="shared" si="12"/>
        <v>11.849124114521441</v>
      </c>
      <c r="U81" s="3" t="s">
        <v>40</v>
      </c>
      <c r="V81" s="3" t="s">
        <v>150</v>
      </c>
      <c r="W81" s="3" t="s">
        <v>388</v>
      </c>
      <c r="X81" s="8">
        <f>1.234*R81/10</f>
        <v>11.994479999999999</v>
      </c>
      <c r="Y81" s="8">
        <f>1.234*T81/10</f>
        <v>1.4621819157319458</v>
      </c>
      <c r="Z81" s="6" t="s">
        <v>34</v>
      </c>
      <c r="AA81" s="3" t="s">
        <v>34</v>
      </c>
      <c r="AB81" s="3" t="s">
        <v>34</v>
      </c>
      <c r="AC81" s="3" t="s">
        <v>34</v>
      </c>
      <c r="AD81" s="2" t="s">
        <v>34</v>
      </c>
      <c r="AE81" s="6" t="s">
        <v>397</v>
      </c>
      <c r="AF81" s="2" t="s">
        <v>53</v>
      </c>
      <c r="AG81" s="6">
        <v>25.4</v>
      </c>
      <c r="AH81" s="2" t="s">
        <v>388</v>
      </c>
      <c r="AI81" s="7" t="s">
        <v>846</v>
      </c>
    </row>
    <row r="82" spans="1:35" x14ac:dyDescent="0.3">
      <c r="A82" s="3" t="s">
        <v>143</v>
      </c>
      <c r="B82" s="4" t="s">
        <v>228</v>
      </c>
      <c r="C82" s="3" t="s">
        <v>384</v>
      </c>
      <c r="D82" s="5" t="s">
        <v>385</v>
      </c>
      <c r="E82" s="5" t="s">
        <v>395</v>
      </c>
      <c r="F82" s="3" t="str">
        <f t="shared" si="11"/>
        <v>Stegastes flavilatus</v>
      </c>
      <c r="G82" s="2" t="s">
        <v>694</v>
      </c>
      <c r="H82" s="6" t="s">
        <v>390</v>
      </c>
      <c r="I82" s="3">
        <v>1.35</v>
      </c>
      <c r="J82" s="3" t="s">
        <v>32</v>
      </c>
      <c r="K82" s="3" t="s">
        <v>33</v>
      </c>
      <c r="L82" s="3" t="s">
        <v>388</v>
      </c>
      <c r="M82" s="6">
        <v>4</v>
      </c>
      <c r="N82" s="2" t="s">
        <v>388</v>
      </c>
      <c r="O82" s="10" t="s">
        <v>34</v>
      </c>
      <c r="P82" s="2" t="s">
        <v>34</v>
      </c>
      <c r="Q82" s="6">
        <v>1.95</v>
      </c>
      <c r="R82" s="3">
        <v>84.7</v>
      </c>
      <c r="S82" s="3">
        <v>-0.1</v>
      </c>
      <c r="T82" s="3">
        <f t="shared" si="12"/>
        <v>15.005904462655241</v>
      </c>
      <c r="U82" s="3" t="s">
        <v>40</v>
      </c>
      <c r="V82" s="3" t="s">
        <v>150</v>
      </c>
      <c r="W82" s="3" t="s">
        <v>388</v>
      </c>
      <c r="X82" s="8">
        <f>1.234*R82/10</f>
        <v>10.451980000000001</v>
      </c>
      <c r="Y82" s="8">
        <f>1.234*T82/10</f>
        <v>1.8517286106916568</v>
      </c>
      <c r="Z82" s="6" t="s">
        <v>34</v>
      </c>
      <c r="AA82" s="3" t="s">
        <v>34</v>
      </c>
      <c r="AB82" s="3" t="s">
        <v>34</v>
      </c>
      <c r="AC82" s="3" t="s">
        <v>34</v>
      </c>
      <c r="AD82" s="2" t="s">
        <v>34</v>
      </c>
      <c r="AE82" s="6" t="s">
        <v>397</v>
      </c>
      <c r="AF82" s="2" t="s">
        <v>53</v>
      </c>
      <c r="AG82" s="6">
        <v>27.15</v>
      </c>
      <c r="AH82" s="2" t="s">
        <v>388</v>
      </c>
      <c r="AI82" s="7" t="s">
        <v>846</v>
      </c>
    </row>
    <row r="83" spans="1:35" x14ac:dyDescent="0.3">
      <c r="A83" s="3" t="s">
        <v>143</v>
      </c>
      <c r="B83" s="4" t="s">
        <v>228</v>
      </c>
      <c r="C83" s="3" t="s">
        <v>384</v>
      </c>
      <c r="D83" s="5" t="s">
        <v>385</v>
      </c>
      <c r="E83" s="5" t="s">
        <v>398</v>
      </c>
      <c r="F83" s="3" t="str">
        <f t="shared" si="11"/>
        <v>Stegastes rectifraenum</v>
      </c>
      <c r="G83" s="2" t="s">
        <v>399</v>
      </c>
      <c r="H83" s="6" t="s">
        <v>396</v>
      </c>
      <c r="I83" s="3">
        <v>0.40200000000000002</v>
      </c>
      <c r="J83" s="3" t="s">
        <v>32</v>
      </c>
      <c r="K83" s="3" t="s">
        <v>33</v>
      </c>
      <c r="L83" s="3" t="s">
        <v>388</v>
      </c>
      <c r="M83" s="6">
        <v>11</v>
      </c>
      <c r="N83" s="2" t="s">
        <v>388</v>
      </c>
      <c r="O83" s="10" t="s">
        <v>34</v>
      </c>
      <c r="P83" s="2" t="s">
        <v>34</v>
      </c>
      <c r="Q83" s="6">
        <v>1.1100000000000001</v>
      </c>
      <c r="R83" s="3">
        <v>107.3</v>
      </c>
      <c r="S83" s="3">
        <v>-0.1</v>
      </c>
      <c r="T83" s="3">
        <f t="shared" si="12"/>
        <v>11.273072239914971</v>
      </c>
      <c r="U83" s="3" t="s">
        <v>40</v>
      </c>
      <c r="V83" s="3" t="s">
        <v>150</v>
      </c>
      <c r="W83" s="3" t="s">
        <v>388</v>
      </c>
      <c r="X83" s="8">
        <f>1.275*R83/10</f>
        <v>13.680749999999998</v>
      </c>
      <c r="Y83" s="8">
        <f>1.275*T83/10</f>
        <v>1.4373167105891587</v>
      </c>
      <c r="Z83" s="6" t="s">
        <v>34</v>
      </c>
      <c r="AA83" s="3" t="s">
        <v>34</v>
      </c>
      <c r="AB83" s="3" t="s">
        <v>34</v>
      </c>
      <c r="AC83" s="3" t="s">
        <v>34</v>
      </c>
      <c r="AD83" s="2" t="s">
        <v>34</v>
      </c>
      <c r="AE83" s="6" t="s">
        <v>400</v>
      </c>
      <c r="AF83" s="2" t="s">
        <v>53</v>
      </c>
      <c r="AG83" s="6">
        <f>AVERAGE(21.5,29.3)</f>
        <v>25.4</v>
      </c>
      <c r="AH83" s="2" t="s">
        <v>388</v>
      </c>
      <c r="AI83" s="7" t="s">
        <v>846</v>
      </c>
    </row>
    <row r="84" spans="1:35" x14ac:dyDescent="0.3">
      <c r="A84" s="3" t="s">
        <v>143</v>
      </c>
      <c r="B84" s="4" t="s">
        <v>228</v>
      </c>
      <c r="C84" s="3" t="s">
        <v>401</v>
      </c>
      <c r="D84" s="5" t="s">
        <v>402</v>
      </c>
      <c r="E84" s="5" t="s">
        <v>403</v>
      </c>
      <c r="F84" s="3" t="str">
        <f t="shared" si="11"/>
        <v>Chlorurus sordidus</v>
      </c>
      <c r="G84" s="2" t="s">
        <v>696</v>
      </c>
      <c r="H84" s="6" t="s">
        <v>723</v>
      </c>
      <c r="I84" s="3">
        <f>AVERAGE(0.22, 0.29, 0.4, 0.28, 0.43, 0.28)</f>
        <v>0.31666666666666665</v>
      </c>
      <c r="J84" s="3" t="s">
        <v>32</v>
      </c>
      <c r="K84" s="3" t="s">
        <v>33</v>
      </c>
      <c r="L84" s="3" t="s">
        <v>404</v>
      </c>
      <c r="M84" s="6">
        <f>AVERAGE(8, 9)</f>
        <v>8.5</v>
      </c>
      <c r="N84" s="2" t="s">
        <v>404</v>
      </c>
      <c r="O84" s="10">
        <v>0.5</v>
      </c>
      <c r="P84" s="2" t="s">
        <v>405</v>
      </c>
      <c r="Q84" s="6">
        <f>AVERAGE(1.11, 0.95, 0.82, 1.47, 1.54, 1.32)</f>
        <v>1.2016666666666667</v>
      </c>
      <c r="R84" s="3">
        <f>AVERAGE(196.08, 217.6, 199.86, 164.79, 166.11, 175.63)</f>
        <v>186.67833333333331</v>
      </c>
      <c r="S84" s="3" t="s">
        <v>34</v>
      </c>
      <c r="T84" s="3" t="s">
        <v>34</v>
      </c>
      <c r="U84" s="3" t="s">
        <v>40</v>
      </c>
      <c r="V84" s="3" t="s">
        <v>150</v>
      </c>
      <c r="W84" s="3" t="s">
        <v>404</v>
      </c>
      <c r="X84" s="8">
        <f>(1.14*R84)/10</f>
        <v>21.281329999999997</v>
      </c>
      <c r="Y84" s="8">
        <v>0</v>
      </c>
      <c r="Z84" s="6">
        <v>140.25</v>
      </c>
      <c r="AA84" s="3" t="s">
        <v>50</v>
      </c>
      <c r="AB84" s="3" t="s">
        <v>40</v>
      </c>
      <c r="AC84" s="3" t="s">
        <v>405</v>
      </c>
      <c r="AD84" s="9">
        <v>14.025</v>
      </c>
      <c r="AE84" s="6" t="s">
        <v>406</v>
      </c>
      <c r="AF84" s="2" t="s">
        <v>53</v>
      </c>
      <c r="AG84" s="6">
        <v>26</v>
      </c>
      <c r="AH84" s="2" t="s">
        <v>638</v>
      </c>
      <c r="AI84" s="7" t="s">
        <v>847</v>
      </c>
    </row>
    <row r="85" spans="1:35" x14ac:dyDescent="0.3">
      <c r="A85" s="3" t="s">
        <v>143</v>
      </c>
      <c r="B85" s="4" t="s">
        <v>228</v>
      </c>
      <c r="C85" s="3" t="s">
        <v>401</v>
      </c>
      <c r="D85" s="5" t="s">
        <v>407</v>
      </c>
      <c r="E85" s="5" t="s">
        <v>408</v>
      </c>
      <c r="F85" s="3" t="str">
        <f t="shared" si="11"/>
        <v>Scarus frenatus</v>
      </c>
      <c r="G85" s="2" t="s">
        <v>697</v>
      </c>
      <c r="H85" s="6" t="s">
        <v>723</v>
      </c>
      <c r="I85" s="3">
        <f>AVERAGE(0.22, 0.19, 0.33, 0.2, 0.18, 0.31)</f>
        <v>0.23833333333333331</v>
      </c>
      <c r="J85" s="3" t="s">
        <v>32</v>
      </c>
      <c r="K85" s="3" t="s">
        <v>33</v>
      </c>
      <c r="L85" s="3" t="s">
        <v>404</v>
      </c>
      <c r="M85" s="6">
        <f>AVERAGE(20, 10)</f>
        <v>15</v>
      </c>
      <c r="N85" s="2" t="s">
        <v>404</v>
      </c>
      <c r="O85" s="10">
        <v>1.5</v>
      </c>
      <c r="P85" s="2" t="s">
        <v>405</v>
      </c>
      <c r="Q85" s="6">
        <f>AVERAGE(0.73, 0.81, 0.91, 1.35, 1.53, 1.49)</f>
        <v>1.1366666666666667</v>
      </c>
      <c r="R85" s="3">
        <f>AVERAGE(262.84, 271.01, 258.42, 209.92, 191.83, 204.14)</f>
        <v>233.02666666666664</v>
      </c>
      <c r="S85" s="3" t="s">
        <v>34</v>
      </c>
      <c r="T85" s="3" t="s">
        <v>34</v>
      </c>
      <c r="U85" s="3" t="s">
        <v>40</v>
      </c>
      <c r="V85" s="3" t="s">
        <v>150</v>
      </c>
      <c r="W85" s="3" t="s">
        <v>404</v>
      </c>
      <c r="X85" s="8">
        <f>(1.136*R85)/10</f>
        <v>26.471829333333329</v>
      </c>
      <c r="Y85" s="8">
        <v>0</v>
      </c>
      <c r="Z85" s="6">
        <v>210.5</v>
      </c>
      <c r="AA85" s="3" t="s">
        <v>50</v>
      </c>
      <c r="AB85" s="3" t="s">
        <v>40</v>
      </c>
      <c r="AC85" s="3" t="s">
        <v>405</v>
      </c>
      <c r="AD85" s="9">
        <v>21.05</v>
      </c>
      <c r="AE85" s="6" t="s">
        <v>409</v>
      </c>
      <c r="AF85" s="2" t="s">
        <v>53</v>
      </c>
      <c r="AG85" s="6">
        <v>26</v>
      </c>
      <c r="AH85" s="2" t="s">
        <v>638</v>
      </c>
      <c r="AI85" s="7" t="s">
        <v>848</v>
      </c>
    </row>
    <row r="86" spans="1:35" x14ac:dyDescent="0.3">
      <c r="A86" s="3" t="s">
        <v>143</v>
      </c>
      <c r="B86" s="4" t="s">
        <v>228</v>
      </c>
      <c r="C86" s="3" t="s">
        <v>401</v>
      </c>
      <c r="D86" s="5" t="s">
        <v>410</v>
      </c>
      <c r="E86" s="5" t="s">
        <v>411</v>
      </c>
      <c r="F86" s="3" t="str">
        <f t="shared" si="11"/>
        <v>Sparisoma viride</v>
      </c>
      <c r="G86" s="2" t="s">
        <v>698</v>
      </c>
      <c r="H86" s="6" t="s">
        <v>240</v>
      </c>
      <c r="I86" s="3">
        <v>0.24</v>
      </c>
      <c r="J86" s="3" t="s">
        <v>32</v>
      </c>
      <c r="K86" s="3" t="s">
        <v>33</v>
      </c>
      <c r="L86" s="3" t="s">
        <v>412</v>
      </c>
      <c r="M86" s="6">
        <v>9</v>
      </c>
      <c r="N86" s="2" t="s">
        <v>412</v>
      </c>
      <c r="O86" s="10" t="s">
        <v>34</v>
      </c>
      <c r="P86" s="2" t="s">
        <v>34</v>
      </c>
      <c r="Q86" s="6">
        <v>0.6</v>
      </c>
      <c r="R86" s="3">
        <v>280.60000000000002</v>
      </c>
      <c r="S86" s="3">
        <v>-0.06</v>
      </c>
      <c r="T86" s="3">
        <f>R86*(1-EXP(Q86*S86))</f>
        <v>9.9219336486356653</v>
      </c>
      <c r="U86" s="3" t="s">
        <v>40</v>
      </c>
      <c r="V86" s="3" t="s">
        <v>150</v>
      </c>
      <c r="W86" s="3" t="s">
        <v>412</v>
      </c>
      <c r="X86" s="8">
        <f>(R86/0.8)/10</f>
        <v>35.075000000000003</v>
      </c>
      <c r="Y86" s="8">
        <f>(T86/0.8)/10</f>
        <v>1.2402417060794582</v>
      </c>
      <c r="Z86" s="6" t="s">
        <v>34</v>
      </c>
      <c r="AA86" s="3" t="s">
        <v>34</v>
      </c>
      <c r="AB86" s="3" t="s">
        <v>34</v>
      </c>
      <c r="AC86" s="3" t="s">
        <v>34</v>
      </c>
      <c r="AD86" s="2" t="s">
        <v>34</v>
      </c>
      <c r="AE86" s="6" t="s">
        <v>413</v>
      </c>
      <c r="AF86" s="2" t="s">
        <v>53</v>
      </c>
      <c r="AG86" s="6">
        <v>27.2</v>
      </c>
      <c r="AH86" s="2" t="s">
        <v>638</v>
      </c>
      <c r="AI86" s="7" t="s">
        <v>414</v>
      </c>
    </row>
    <row r="87" spans="1:35" x14ac:dyDescent="0.3">
      <c r="A87" s="3" t="s">
        <v>143</v>
      </c>
      <c r="B87" s="4" t="s">
        <v>228</v>
      </c>
      <c r="C87" s="3" t="s">
        <v>415</v>
      </c>
      <c r="D87" s="3" t="s">
        <v>543</v>
      </c>
      <c r="E87" s="3" t="s">
        <v>544</v>
      </c>
      <c r="F87" s="3" t="str">
        <f t="shared" si="11"/>
        <v>Protonibea diacanthus</v>
      </c>
      <c r="G87" s="2" t="s">
        <v>545</v>
      </c>
      <c r="H87" s="6" t="s">
        <v>546</v>
      </c>
      <c r="I87" s="3">
        <v>0.83</v>
      </c>
      <c r="J87" s="3" t="s">
        <v>32</v>
      </c>
      <c r="K87" s="3" t="s">
        <v>33</v>
      </c>
      <c r="L87" s="3" t="s">
        <v>547</v>
      </c>
      <c r="M87" s="6">
        <v>8</v>
      </c>
      <c r="N87" s="2" t="s">
        <v>548</v>
      </c>
      <c r="O87" s="10">
        <v>4</v>
      </c>
      <c r="P87" s="2" t="s">
        <v>549</v>
      </c>
      <c r="Q87" s="6">
        <v>0.315</v>
      </c>
      <c r="R87" s="3">
        <v>122.14</v>
      </c>
      <c r="S87" s="3">
        <v>-0.31</v>
      </c>
      <c r="T87" s="3">
        <f>R87*(1-EXP(Q87*S87))</f>
        <v>11.363137778009689</v>
      </c>
      <c r="U87" s="3" t="s">
        <v>35</v>
      </c>
      <c r="V87" s="3" t="s">
        <v>36</v>
      </c>
      <c r="W87" s="3" t="s">
        <v>548</v>
      </c>
      <c r="X87" s="8">
        <f>R87</f>
        <v>122.14</v>
      </c>
      <c r="Y87" s="8">
        <f>T87</f>
        <v>11.363137778009689</v>
      </c>
      <c r="Z87" s="6">
        <v>85</v>
      </c>
      <c r="AA87" s="3" t="s">
        <v>36</v>
      </c>
      <c r="AB87" s="3" t="s">
        <v>35</v>
      </c>
      <c r="AC87" s="3" t="s">
        <v>549</v>
      </c>
      <c r="AD87" s="9">
        <v>85</v>
      </c>
      <c r="AE87" s="6" t="s">
        <v>34</v>
      </c>
      <c r="AF87" s="2" t="s">
        <v>34</v>
      </c>
      <c r="AG87" s="6">
        <v>27</v>
      </c>
      <c r="AH87" s="2" t="s">
        <v>638</v>
      </c>
    </row>
    <row r="88" spans="1:35" x14ac:dyDescent="0.3">
      <c r="A88" s="3" t="s">
        <v>143</v>
      </c>
      <c r="B88" s="4" t="s">
        <v>228</v>
      </c>
      <c r="C88" s="3" t="s">
        <v>415</v>
      </c>
      <c r="D88" s="5" t="s">
        <v>416</v>
      </c>
      <c r="E88" s="5" t="s">
        <v>417</v>
      </c>
      <c r="F88" s="3" t="str">
        <f t="shared" si="11"/>
        <v>Umbrina robinsoni</v>
      </c>
      <c r="G88" s="2" t="s">
        <v>418</v>
      </c>
      <c r="H88" s="6" t="s">
        <v>419</v>
      </c>
      <c r="I88" s="3">
        <f>AVERAGE(0.29, 0.27, 0.24)</f>
        <v>0.26666666666666666</v>
      </c>
      <c r="J88" s="3" t="s">
        <v>32</v>
      </c>
      <c r="K88" s="3" t="s">
        <v>420</v>
      </c>
      <c r="L88" s="3" t="s">
        <v>421</v>
      </c>
      <c r="M88" s="6">
        <f>AVERAGE(16, 14)</f>
        <v>15</v>
      </c>
      <c r="N88" s="2" t="s">
        <v>421</v>
      </c>
      <c r="O88" s="10">
        <v>3.1597065810972325</v>
      </c>
      <c r="P88" s="2" t="s">
        <v>34</v>
      </c>
      <c r="Q88" s="6">
        <v>0.183</v>
      </c>
      <c r="R88" s="3">
        <v>594</v>
      </c>
      <c r="S88" s="3">
        <v>-2.419</v>
      </c>
      <c r="T88" s="3">
        <f>R88*(1-EXP(Q88*S88))</f>
        <v>212.46510311859134</v>
      </c>
      <c r="U88" s="3" t="s">
        <v>40</v>
      </c>
      <c r="V88" s="3" t="s">
        <v>36</v>
      </c>
      <c r="W88" s="3" t="s">
        <v>421</v>
      </c>
      <c r="X88" s="8">
        <f>R88/10</f>
        <v>59.4</v>
      </c>
      <c r="Y88" s="8">
        <f>T88/10</f>
        <v>21.246510311859133</v>
      </c>
      <c r="Z88" s="6">
        <f>AVERAGE(39, 37)</f>
        <v>38</v>
      </c>
      <c r="AA88" s="3" t="s">
        <v>36</v>
      </c>
      <c r="AB88" s="3" t="s">
        <v>35</v>
      </c>
      <c r="AC88" s="3" t="s">
        <v>421</v>
      </c>
      <c r="AD88" s="9">
        <v>38</v>
      </c>
      <c r="AE88" s="6" t="s">
        <v>34</v>
      </c>
      <c r="AF88" s="9" t="s">
        <v>34</v>
      </c>
      <c r="AG88" s="6">
        <v>18</v>
      </c>
      <c r="AH88" s="2" t="s">
        <v>421</v>
      </c>
      <c r="AI88" s="7" t="s">
        <v>422</v>
      </c>
    </row>
    <row r="89" spans="1:35" x14ac:dyDescent="0.3">
      <c r="A89" s="3" t="s">
        <v>143</v>
      </c>
      <c r="B89" s="4" t="s">
        <v>228</v>
      </c>
      <c r="C89" s="3" t="s">
        <v>415</v>
      </c>
      <c r="D89" s="5" t="s">
        <v>416</v>
      </c>
      <c r="E89" s="5" t="s">
        <v>417</v>
      </c>
      <c r="F89" s="3" t="str">
        <f t="shared" si="11"/>
        <v>Umbrina robinsoni</v>
      </c>
      <c r="G89" s="2" t="s">
        <v>418</v>
      </c>
      <c r="H89" s="6" t="s">
        <v>423</v>
      </c>
      <c r="I89" s="3">
        <f>AVERAGE(0.39, 0.33, 0.33)</f>
        <v>0.35000000000000003</v>
      </c>
      <c r="J89" s="3" t="s">
        <v>32</v>
      </c>
      <c r="K89" s="3" t="s">
        <v>420</v>
      </c>
      <c r="L89" s="3" t="s">
        <v>421</v>
      </c>
      <c r="M89" s="6">
        <f>AVERAGE(11, 12)</f>
        <v>11.5</v>
      </c>
      <c r="N89" s="2" t="s">
        <v>421</v>
      </c>
      <c r="O89" s="10">
        <v>2.362723013776161</v>
      </c>
      <c r="P89" s="2" t="s">
        <v>34</v>
      </c>
      <c r="Q89" s="6">
        <v>0.151</v>
      </c>
      <c r="R89" s="3">
        <v>875</v>
      </c>
      <c r="S89" s="3">
        <v>-2.4980000000000002</v>
      </c>
      <c r="T89" s="3">
        <f>R89*(1-EXP(Q89*S89))</f>
        <v>274.94225853690034</v>
      </c>
      <c r="U89" s="3" t="s">
        <v>40</v>
      </c>
      <c r="V89" s="3" t="s">
        <v>36</v>
      </c>
      <c r="W89" s="3" t="s">
        <v>421</v>
      </c>
      <c r="X89" s="8">
        <f>R89/10</f>
        <v>87.5</v>
      </c>
      <c r="Y89" s="8">
        <f>T89/10</f>
        <v>27.494225853690033</v>
      </c>
      <c r="Z89" s="6">
        <f>AVERAGE(48, 43)</f>
        <v>45.5</v>
      </c>
      <c r="AA89" s="3" t="s">
        <v>36</v>
      </c>
      <c r="AB89" s="3" t="s">
        <v>35</v>
      </c>
      <c r="AC89" s="3" t="s">
        <v>421</v>
      </c>
      <c r="AD89" s="9">
        <v>45.5</v>
      </c>
      <c r="AE89" s="6" t="s">
        <v>34</v>
      </c>
      <c r="AF89" s="9" t="s">
        <v>34</v>
      </c>
      <c r="AG89" s="6">
        <f>AVERAGE(22, 28)</f>
        <v>25</v>
      </c>
      <c r="AH89" s="2" t="s">
        <v>421</v>
      </c>
      <c r="AI89" s="7" t="s">
        <v>422</v>
      </c>
    </row>
    <row r="90" spans="1:35" x14ac:dyDescent="0.3">
      <c r="A90" s="3" t="s">
        <v>143</v>
      </c>
      <c r="B90" s="4" t="s">
        <v>228</v>
      </c>
      <c r="C90" s="3" t="s">
        <v>620</v>
      </c>
      <c r="D90" s="3" t="s">
        <v>632</v>
      </c>
      <c r="E90" s="3" t="s">
        <v>633</v>
      </c>
      <c r="F90" s="3" t="str">
        <f t="shared" si="11"/>
        <v>Katsuwonus pelamis</v>
      </c>
      <c r="G90" s="2" t="s">
        <v>634</v>
      </c>
      <c r="H90" s="6" t="s">
        <v>724</v>
      </c>
      <c r="I90" s="3">
        <v>1.49</v>
      </c>
      <c r="J90" s="3" t="s">
        <v>32</v>
      </c>
      <c r="K90" s="3" t="s">
        <v>64</v>
      </c>
      <c r="L90" s="3" t="s">
        <v>635</v>
      </c>
      <c r="M90" s="6">
        <v>4</v>
      </c>
      <c r="N90" s="2" t="s">
        <v>635</v>
      </c>
      <c r="O90" s="10">
        <v>1.0009448893834929</v>
      </c>
      <c r="P90" s="2" t="s">
        <v>629</v>
      </c>
      <c r="Q90" s="6">
        <v>0.43</v>
      </c>
      <c r="R90" s="3">
        <v>93.6</v>
      </c>
      <c r="S90" s="3">
        <v>-0.49</v>
      </c>
      <c r="T90" s="3">
        <f>R90*(1-EXP(Q90*S90))</f>
        <v>17.782405473005038</v>
      </c>
      <c r="U90" s="3" t="s">
        <v>35</v>
      </c>
      <c r="V90" s="3" t="s">
        <v>50</v>
      </c>
      <c r="W90" s="3" t="s">
        <v>636</v>
      </c>
      <c r="X90" s="3">
        <f>1*R90</f>
        <v>93.6</v>
      </c>
      <c r="Y90" s="3">
        <f>1*T90</f>
        <v>17.782405473005038</v>
      </c>
      <c r="Z90" s="6">
        <f>AVERAGE(40.7, 47.9)</f>
        <v>44.3</v>
      </c>
      <c r="AA90" s="3" t="s">
        <v>50</v>
      </c>
      <c r="AB90" s="3" t="s">
        <v>35</v>
      </c>
      <c r="AC90" s="3" t="s">
        <v>637</v>
      </c>
      <c r="AD90" s="2">
        <v>44.3</v>
      </c>
      <c r="AE90" s="6" t="s">
        <v>326</v>
      </c>
      <c r="AF90" s="2" t="s">
        <v>53</v>
      </c>
      <c r="AG90" s="6">
        <v>23</v>
      </c>
      <c r="AH90" s="2" t="s">
        <v>638</v>
      </c>
      <c r="AI90" s="7" t="s">
        <v>863</v>
      </c>
    </row>
    <row r="91" spans="1:35" x14ac:dyDescent="0.3">
      <c r="A91" s="3" t="s">
        <v>143</v>
      </c>
      <c r="B91" s="4" t="s">
        <v>228</v>
      </c>
      <c r="C91" s="3" t="s">
        <v>620</v>
      </c>
      <c r="D91" s="3" t="s">
        <v>621</v>
      </c>
      <c r="E91" s="3" t="s">
        <v>622</v>
      </c>
      <c r="F91" s="3" t="str">
        <f t="shared" si="11"/>
        <v>Thunnus albacares</v>
      </c>
      <c r="G91" s="2" t="s">
        <v>699</v>
      </c>
      <c r="H91" s="6" t="s">
        <v>724</v>
      </c>
      <c r="I91" s="3">
        <v>0.5</v>
      </c>
      <c r="J91" s="3" t="s">
        <v>32</v>
      </c>
      <c r="K91" s="3" t="s">
        <v>64</v>
      </c>
      <c r="L91" s="3" t="s">
        <v>656</v>
      </c>
      <c r="M91" s="6">
        <v>7</v>
      </c>
      <c r="N91" s="2" t="s">
        <v>656</v>
      </c>
      <c r="O91" s="10">
        <v>3.9600233792665231</v>
      </c>
      <c r="P91" s="2" t="s">
        <v>34</v>
      </c>
      <c r="Q91" s="6">
        <v>0.25</v>
      </c>
      <c r="R91" s="3">
        <v>166.4</v>
      </c>
      <c r="S91" s="3" t="s">
        <v>34</v>
      </c>
      <c r="T91" s="3" t="s">
        <v>34</v>
      </c>
      <c r="U91" s="3" t="s">
        <v>35</v>
      </c>
      <c r="V91" s="3" t="s">
        <v>50</v>
      </c>
      <c r="W91" s="3" t="s">
        <v>623</v>
      </c>
      <c r="X91" s="3">
        <f>1.108*R91</f>
        <v>184.37120000000002</v>
      </c>
      <c r="Y91" s="3">
        <v>0</v>
      </c>
      <c r="Z91" s="6">
        <v>104.57</v>
      </c>
      <c r="AA91" s="3" t="s">
        <v>50</v>
      </c>
      <c r="AB91" s="3" t="s">
        <v>35</v>
      </c>
      <c r="AC91" s="3" t="s">
        <v>657</v>
      </c>
      <c r="AD91" s="2">
        <v>115.86356000000001</v>
      </c>
      <c r="AE91" s="6" t="s">
        <v>624</v>
      </c>
      <c r="AF91" s="2" t="s">
        <v>53</v>
      </c>
      <c r="AG91" s="6">
        <v>23</v>
      </c>
      <c r="AH91" s="2" t="s">
        <v>638</v>
      </c>
      <c r="AI91" s="7" t="s">
        <v>625</v>
      </c>
    </row>
    <row r="92" spans="1:35" x14ac:dyDescent="0.3">
      <c r="A92" s="3" t="s">
        <v>143</v>
      </c>
      <c r="B92" s="4" t="s">
        <v>228</v>
      </c>
      <c r="C92" s="3" t="s">
        <v>620</v>
      </c>
      <c r="D92" s="3" t="s">
        <v>621</v>
      </c>
      <c r="E92" s="3" t="s">
        <v>626</v>
      </c>
      <c r="F92" s="3" t="str">
        <f t="shared" si="11"/>
        <v>Thunnus obesus</v>
      </c>
      <c r="G92" s="2" t="s">
        <v>700</v>
      </c>
      <c r="H92" s="6" t="s">
        <v>724</v>
      </c>
      <c r="I92" s="3">
        <v>0.46</v>
      </c>
      <c r="J92" s="3" t="s">
        <v>32</v>
      </c>
      <c r="K92" s="3" t="s">
        <v>64</v>
      </c>
      <c r="L92" s="3" t="s">
        <v>627</v>
      </c>
      <c r="M92" s="6">
        <v>10</v>
      </c>
      <c r="N92" s="2" t="s">
        <v>627</v>
      </c>
      <c r="O92" s="10">
        <v>2.4282917379214743</v>
      </c>
      <c r="P92" s="2" t="s">
        <v>629</v>
      </c>
      <c r="Q92" s="6">
        <v>0.29199999999999998</v>
      </c>
      <c r="R92" s="3">
        <v>158.1</v>
      </c>
      <c r="S92" s="3">
        <v>-0.75</v>
      </c>
      <c r="T92" s="3">
        <f>R92*(1-EXP(Q92*S92))</f>
        <v>31.094836359911646</v>
      </c>
      <c r="U92" s="3" t="s">
        <v>35</v>
      </c>
      <c r="V92" s="3" t="s">
        <v>50</v>
      </c>
      <c r="W92" s="3" t="s">
        <v>628</v>
      </c>
      <c r="X92" s="3">
        <f>1.1*R92</f>
        <v>173.91</v>
      </c>
      <c r="Y92" s="3">
        <f>1.1*T92</f>
        <v>34.204319995902814</v>
      </c>
      <c r="Z92" s="6">
        <f>AVERAGE(88.2, 103)</f>
        <v>95.6</v>
      </c>
      <c r="AA92" s="3" t="s">
        <v>50</v>
      </c>
      <c r="AB92" s="3" t="s">
        <v>35</v>
      </c>
      <c r="AC92" s="3" t="s">
        <v>630</v>
      </c>
      <c r="AD92" s="2">
        <v>105.16</v>
      </c>
      <c r="AE92" s="6" t="s">
        <v>631</v>
      </c>
      <c r="AF92" s="2" t="s">
        <v>53</v>
      </c>
      <c r="AG92" s="6">
        <v>23</v>
      </c>
      <c r="AH92" s="2" t="s">
        <v>638</v>
      </c>
    </row>
    <row r="93" spans="1:35" x14ac:dyDescent="0.3">
      <c r="A93" s="3" t="s">
        <v>143</v>
      </c>
      <c r="B93" s="4" t="s">
        <v>228</v>
      </c>
      <c r="C93" s="3" t="s">
        <v>424</v>
      </c>
      <c r="D93" s="5" t="s">
        <v>425</v>
      </c>
      <c r="E93" s="5" t="s">
        <v>426</v>
      </c>
      <c r="F93" s="3" t="str">
        <f t="shared" si="11"/>
        <v>Cromileptes altivelis</v>
      </c>
      <c r="G93" s="2" t="s">
        <v>701</v>
      </c>
      <c r="H93" s="6" t="s">
        <v>427</v>
      </c>
      <c r="I93" s="3">
        <v>0.26</v>
      </c>
      <c r="J93" s="3" t="s">
        <v>32</v>
      </c>
      <c r="K93" s="3" t="s">
        <v>33</v>
      </c>
      <c r="L93" s="3" t="s">
        <v>428</v>
      </c>
      <c r="M93" s="6">
        <v>19</v>
      </c>
      <c r="N93" s="2" t="s">
        <v>428</v>
      </c>
      <c r="O93" s="10" t="s">
        <v>34</v>
      </c>
      <c r="P93" s="2" t="s">
        <v>34</v>
      </c>
      <c r="Q93" s="6">
        <v>0.3</v>
      </c>
      <c r="R93" s="3">
        <v>597</v>
      </c>
      <c r="S93" s="3" t="s">
        <v>34</v>
      </c>
      <c r="T93" s="3" t="s">
        <v>34</v>
      </c>
      <c r="U93" s="3" t="s">
        <v>40</v>
      </c>
      <c r="V93" s="3" t="s">
        <v>50</v>
      </c>
      <c r="W93" s="3" t="s">
        <v>428</v>
      </c>
      <c r="X93" s="8">
        <f>1*R93/10</f>
        <v>59.7</v>
      </c>
      <c r="Y93" s="8">
        <v>0</v>
      </c>
      <c r="Z93" s="6" t="s">
        <v>34</v>
      </c>
      <c r="AA93" s="3" t="s">
        <v>34</v>
      </c>
      <c r="AB93" s="3" t="s">
        <v>34</v>
      </c>
      <c r="AC93" s="3" t="s">
        <v>34</v>
      </c>
      <c r="AD93" s="2" t="s">
        <v>34</v>
      </c>
      <c r="AE93" s="6" t="s">
        <v>429</v>
      </c>
      <c r="AF93" s="2" t="s">
        <v>53</v>
      </c>
      <c r="AG93" s="6">
        <v>22.5</v>
      </c>
      <c r="AH93" s="2" t="s">
        <v>638</v>
      </c>
      <c r="AI93" s="7" t="s">
        <v>849</v>
      </c>
    </row>
    <row r="94" spans="1:35" x14ac:dyDescent="0.3">
      <c r="A94" s="3" t="s">
        <v>143</v>
      </c>
      <c r="B94" s="4" t="s">
        <v>228</v>
      </c>
      <c r="C94" s="3" t="s">
        <v>424</v>
      </c>
      <c r="D94" s="3" t="s">
        <v>430</v>
      </c>
      <c r="E94" s="3" t="s">
        <v>431</v>
      </c>
      <c r="F94" s="3" t="str">
        <f t="shared" si="11"/>
        <v>Epinephelus guttatus</v>
      </c>
      <c r="G94" s="2" t="s">
        <v>702</v>
      </c>
      <c r="H94" s="6" t="s">
        <v>432</v>
      </c>
      <c r="I94" s="3">
        <f>-LN(AVERAGE(0.7949,0.8787))</f>
        <v>0.1781701856714786</v>
      </c>
      <c r="J94" s="3" t="s">
        <v>32</v>
      </c>
      <c r="K94" s="3" t="s">
        <v>57</v>
      </c>
      <c r="L94" s="3" t="s">
        <v>433</v>
      </c>
      <c r="M94" s="6">
        <v>17</v>
      </c>
      <c r="N94" s="2" t="s">
        <v>434</v>
      </c>
      <c r="O94" s="10" t="s">
        <v>34</v>
      </c>
      <c r="P94" s="2" t="s">
        <v>34</v>
      </c>
      <c r="Q94" s="6">
        <v>0.10100000000000001</v>
      </c>
      <c r="R94" s="3">
        <v>514.5</v>
      </c>
      <c r="S94" s="3">
        <v>-2.94</v>
      </c>
      <c r="T94" s="3">
        <f t="shared" ref="T94:T122" si="13">R94*(1-EXP(Q94*S94))</f>
        <v>132.1809171829735</v>
      </c>
      <c r="U94" s="3" t="s">
        <v>40</v>
      </c>
      <c r="V94" s="3" t="s">
        <v>50</v>
      </c>
      <c r="W94" s="3" t="s">
        <v>434</v>
      </c>
      <c r="X94" s="8">
        <f>1.003*(R94/10)</f>
        <v>51.604349999999997</v>
      </c>
      <c r="Y94" s="8">
        <f>1.003*(T94/10)</f>
        <v>13.257745993452241</v>
      </c>
      <c r="Z94" s="6" t="s">
        <v>34</v>
      </c>
      <c r="AA94" s="3" t="s">
        <v>34</v>
      </c>
      <c r="AB94" s="3" t="s">
        <v>34</v>
      </c>
      <c r="AC94" s="3" t="s">
        <v>34</v>
      </c>
      <c r="AD94" s="9" t="s">
        <v>34</v>
      </c>
      <c r="AE94" s="6" t="s">
        <v>435</v>
      </c>
      <c r="AF94" s="2" t="s">
        <v>53</v>
      </c>
      <c r="AG94" s="6">
        <v>27.75</v>
      </c>
      <c r="AH94" s="2" t="s">
        <v>638</v>
      </c>
      <c r="AI94" s="14" t="s">
        <v>850</v>
      </c>
    </row>
    <row r="95" spans="1:35" x14ac:dyDescent="0.3">
      <c r="A95" s="3" t="s">
        <v>143</v>
      </c>
      <c r="B95" s="4" t="s">
        <v>228</v>
      </c>
      <c r="C95" s="3" t="s">
        <v>424</v>
      </c>
      <c r="D95" s="5" t="s">
        <v>430</v>
      </c>
      <c r="E95" s="5" t="s">
        <v>436</v>
      </c>
      <c r="F95" s="3" t="str">
        <f t="shared" si="11"/>
        <v>Epinephelus niveatus</v>
      </c>
      <c r="G95" s="2" t="s">
        <v>703</v>
      </c>
      <c r="H95" s="6" t="s">
        <v>437</v>
      </c>
      <c r="I95" s="3">
        <f>-LN(1-0.16)</f>
        <v>0.1743533871447778</v>
      </c>
      <c r="J95" s="3" t="s">
        <v>32</v>
      </c>
      <c r="K95" s="3" t="s">
        <v>33</v>
      </c>
      <c r="L95" s="3" t="s">
        <v>438</v>
      </c>
      <c r="M95" s="6">
        <v>27</v>
      </c>
      <c r="N95" s="2" t="s">
        <v>438</v>
      </c>
      <c r="O95" s="10" t="s">
        <v>34</v>
      </c>
      <c r="P95" s="2" t="s">
        <v>34</v>
      </c>
      <c r="Q95" s="6">
        <v>8.6999999999999994E-2</v>
      </c>
      <c r="R95" s="3">
        <v>1320</v>
      </c>
      <c r="S95" s="3">
        <v>-1.0129999999999999</v>
      </c>
      <c r="T95" s="3">
        <f t="shared" si="13"/>
        <v>111.35398572432027</v>
      </c>
      <c r="U95" s="3" t="s">
        <v>40</v>
      </c>
      <c r="V95" s="3" t="s">
        <v>36</v>
      </c>
      <c r="W95" s="3" t="s">
        <v>438</v>
      </c>
      <c r="X95" s="8">
        <f>R95/10</f>
        <v>132</v>
      </c>
      <c r="Y95" s="8">
        <f>T95/10</f>
        <v>11.135398572432027</v>
      </c>
      <c r="Z95" s="6" t="s">
        <v>34</v>
      </c>
      <c r="AA95" s="3" t="s">
        <v>34</v>
      </c>
      <c r="AB95" s="3" t="s">
        <v>34</v>
      </c>
      <c r="AC95" s="3" t="s">
        <v>34</v>
      </c>
      <c r="AD95" s="2" t="s">
        <v>34</v>
      </c>
      <c r="AE95" s="6" t="s">
        <v>34</v>
      </c>
      <c r="AF95" s="2" t="s">
        <v>34</v>
      </c>
      <c r="AG95" s="6">
        <v>22.5</v>
      </c>
      <c r="AH95" s="2" t="s">
        <v>638</v>
      </c>
      <c r="AI95" s="7" t="s">
        <v>851</v>
      </c>
    </row>
    <row r="96" spans="1:35" x14ac:dyDescent="0.3">
      <c r="A96" s="3" t="s">
        <v>143</v>
      </c>
      <c r="B96" s="4" t="s">
        <v>228</v>
      </c>
      <c r="C96" s="3" t="s">
        <v>424</v>
      </c>
      <c r="D96" s="5" t="s">
        <v>439</v>
      </c>
      <c r="E96" s="5" t="s">
        <v>440</v>
      </c>
      <c r="F96" s="3" t="str">
        <f t="shared" si="11"/>
        <v>Plectropomus leopardus</v>
      </c>
      <c r="G96" s="2" t="s">
        <v>704</v>
      </c>
      <c r="H96" s="6" t="s">
        <v>243</v>
      </c>
      <c r="I96" s="3">
        <v>0.14699999999999999</v>
      </c>
      <c r="J96" s="3" t="s">
        <v>32</v>
      </c>
      <c r="K96" s="3" t="s">
        <v>33</v>
      </c>
      <c r="L96" s="3" t="s">
        <v>441</v>
      </c>
      <c r="M96" s="6">
        <f>AVERAGE(14, 18)</f>
        <v>16</v>
      </c>
      <c r="N96" s="2" t="s">
        <v>441</v>
      </c>
      <c r="O96" s="10">
        <v>5.0873574556804515</v>
      </c>
      <c r="P96" s="2" t="s">
        <v>34</v>
      </c>
      <c r="Q96" s="6">
        <f>AVERAGE(0.101, 0.102)</f>
        <v>0.10150000000000001</v>
      </c>
      <c r="R96" s="3">
        <f>AVERAGE(68.69, 68.872)</f>
        <v>68.781000000000006</v>
      </c>
      <c r="S96" s="3">
        <f>AVERAGE(4.215, 3.884)*-1</f>
        <v>-4.0495000000000001</v>
      </c>
      <c r="T96" s="3">
        <f t="shared" si="13"/>
        <v>23.181201666087848</v>
      </c>
      <c r="U96" s="3" t="s">
        <v>35</v>
      </c>
      <c r="V96" s="3" t="s">
        <v>50</v>
      </c>
      <c r="W96" s="3" t="s">
        <v>442</v>
      </c>
      <c r="X96" s="8">
        <f>1.1382*R96</f>
        <v>78.28653420000002</v>
      </c>
      <c r="Y96" s="8">
        <f>1.1382*T96</f>
        <v>26.384843736341189</v>
      </c>
      <c r="Z96" s="6">
        <f>AVERAGE(21, 47, 30, 54)</f>
        <v>38</v>
      </c>
      <c r="AA96" s="3" t="s">
        <v>150</v>
      </c>
      <c r="AB96" s="3" t="s">
        <v>34</v>
      </c>
      <c r="AC96" s="3" t="s">
        <v>443</v>
      </c>
      <c r="AD96" s="9">
        <v>47.317600000000006</v>
      </c>
      <c r="AE96" s="6" t="s">
        <v>444</v>
      </c>
      <c r="AF96" s="2" t="s">
        <v>53</v>
      </c>
      <c r="AG96" s="6">
        <v>25</v>
      </c>
      <c r="AH96" s="2" t="s">
        <v>638</v>
      </c>
      <c r="AI96" s="7" t="s">
        <v>649</v>
      </c>
    </row>
    <row r="97" spans="1:35" x14ac:dyDescent="0.3">
      <c r="A97" s="3" t="s">
        <v>143</v>
      </c>
      <c r="B97" s="4" t="s">
        <v>228</v>
      </c>
      <c r="C97" s="3" t="s">
        <v>445</v>
      </c>
      <c r="D97" s="5" t="s">
        <v>446</v>
      </c>
      <c r="E97" s="5" t="s">
        <v>650</v>
      </c>
      <c r="F97" s="3" t="str">
        <f t="shared" ref="F97:F122" si="14">CONCATENATE(D97, " ", E97)</f>
        <v>Chrysoblephus cristiceps</v>
      </c>
      <c r="G97" s="2" t="s">
        <v>651</v>
      </c>
      <c r="H97" s="6" t="s">
        <v>449</v>
      </c>
      <c r="I97" s="3">
        <v>0.2094</v>
      </c>
      <c r="J97" s="3" t="s">
        <v>32</v>
      </c>
      <c r="K97" s="3" t="s">
        <v>33</v>
      </c>
      <c r="L97" s="3" t="s">
        <v>450</v>
      </c>
      <c r="M97" s="6">
        <v>22</v>
      </c>
      <c r="N97" s="2" t="s">
        <v>450</v>
      </c>
      <c r="O97" s="10">
        <v>7.7158174157005037</v>
      </c>
      <c r="P97" s="11" t="s">
        <v>34</v>
      </c>
      <c r="Q97" s="6">
        <v>8.1000000000000003E-2</v>
      </c>
      <c r="R97" s="3">
        <v>654.70000000000005</v>
      </c>
      <c r="S97" s="3">
        <v>-2.35</v>
      </c>
      <c r="T97" s="3">
        <f t="shared" si="13"/>
        <v>113.47931540052524</v>
      </c>
      <c r="U97" s="3" t="s">
        <v>40</v>
      </c>
      <c r="V97" s="3" t="s">
        <v>50</v>
      </c>
      <c r="W97" s="3" t="s">
        <v>450</v>
      </c>
      <c r="X97" s="8">
        <f>(1.1432*R97 -3.6024)/10</f>
        <v>74.485064000000008</v>
      </c>
      <c r="Y97" s="8">
        <f>(1.1432*T97 -3.6024)/10</f>
        <v>12.612715336588046</v>
      </c>
      <c r="Z97" s="6">
        <v>365</v>
      </c>
      <c r="AA97" s="3" t="s">
        <v>50</v>
      </c>
      <c r="AB97" s="3" t="s">
        <v>40</v>
      </c>
      <c r="AC97" s="3" t="s">
        <v>450</v>
      </c>
      <c r="AD97" s="9">
        <v>41.36656</v>
      </c>
      <c r="AE97" s="6" t="s">
        <v>652</v>
      </c>
      <c r="AF97" s="2" t="s">
        <v>450</v>
      </c>
      <c r="AG97" s="6">
        <v>17</v>
      </c>
      <c r="AH97" s="2" t="s">
        <v>638</v>
      </c>
    </row>
    <row r="98" spans="1:35" x14ac:dyDescent="0.3">
      <c r="A98" s="3" t="s">
        <v>143</v>
      </c>
      <c r="B98" s="4" t="s">
        <v>228</v>
      </c>
      <c r="C98" s="3" t="s">
        <v>445</v>
      </c>
      <c r="D98" s="5" t="s">
        <v>446</v>
      </c>
      <c r="E98" s="5" t="s">
        <v>447</v>
      </c>
      <c r="F98" s="3" t="str">
        <f t="shared" si="14"/>
        <v>Chrysoblephus laticeps</v>
      </c>
      <c r="G98" s="2" t="s">
        <v>448</v>
      </c>
      <c r="H98" s="6" t="s">
        <v>449</v>
      </c>
      <c r="I98" s="3">
        <f>AVERAGE(0.22, 0.2395)</f>
        <v>0.22975000000000001</v>
      </c>
      <c r="J98" s="3" t="s">
        <v>32</v>
      </c>
      <c r="K98" s="3" t="s">
        <v>33</v>
      </c>
      <c r="L98" s="3" t="s">
        <v>450</v>
      </c>
      <c r="M98" s="6">
        <v>17</v>
      </c>
      <c r="N98" s="2" t="s">
        <v>450</v>
      </c>
      <c r="O98" s="10">
        <v>2.0571493767325846</v>
      </c>
      <c r="P98" s="2" t="s">
        <v>34</v>
      </c>
      <c r="Q98" s="6">
        <v>0.14699999999999999</v>
      </c>
      <c r="R98" s="3">
        <v>425</v>
      </c>
      <c r="S98" s="3">
        <v>-1.69</v>
      </c>
      <c r="T98" s="3">
        <f t="shared" si="13"/>
        <v>93.489604229546202</v>
      </c>
      <c r="U98" s="3" t="s">
        <v>40</v>
      </c>
      <c r="V98" s="3" t="s">
        <v>50</v>
      </c>
      <c r="W98" s="3" t="s">
        <v>450</v>
      </c>
      <c r="X98" s="8">
        <f>(1.1144*R98 -2.855)/10</f>
        <v>47.076499999999996</v>
      </c>
      <c r="Y98" s="8">
        <f>(1.1144*T98 -2.855)/10</f>
        <v>10.132981495340628</v>
      </c>
      <c r="Z98" s="6">
        <v>180</v>
      </c>
      <c r="AA98" s="3" t="s">
        <v>50</v>
      </c>
      <c r="AB98" s="3" t="s">
        <v>40</v>
      </c>
      <c r="AC98" s="3" t="s">
        <v>450</v>
      </c>
      <c r="AD98" s="9">
        <v>19.773700000000002</v>
      </c>
      <c r="AE98" s="6" t="s">
        <v>451</v>
      </c>
      <c r="AF98" s="2" t="s">
        <v>450</v>
      </c>
      <c r="AG98" s="6">
        <v>17</v>
      </c>
      <c r="AH98" s="2" t="s">
        <v>638</v>
      </c>
    </row>
    <row r="99" spans="1:35" x14ac:dyDescent="0.3">
      <c r="A99" s="3" t="s">
        <v>143</v>
      </c>
      <c r="B99" s="4" t="s">
        <v>228</v>
      </c>
      <c r="C99" s="3" t="s">
        <v>445</v>
      </c>
      <c r="D99" s="5" t="s">
        <v>452</v>
      </c>
      <c r="E99" s="5" t="s">
        <v>453</v>
      </c>
      <c r="F99" s="3" t="str">
        <f t="shared" si="14"/>
        <v>Pterogymnus laniarius</v>
      </c>
      <c r="G99" s="2" t="s">
        <v>454</v>
      </c>
      <c r="H99" s="6" t="s">
        <v>455</v>
      </c>
      <c r="I99" s="3">
        <v>0.36</v>
      </c>
      <c r="J99" s="3" t="s">
        <v>32</v>
      </c>
      <c r="K99" s="3" t="s">
        <v>33</v>
      </c>
      <c r="L99" s="3" t="s">
        <v>456</v>
      </c>
      <c r="M99" s="6">
        <v>16</v>
      </c>
      <c r="N99" s="2" t="s">
        <v>456</v>
      </c>
      <c r="O99" s="10">
        <v>4</v>
      </c>
      <c r="P99" s="2" t="s">
        <v>456</v>
      </c>
      <c r="Q99" s="6">
        <v>0.13</v>
      </c>
      <c r="R99" s="3">
        <v>379.35</v>
      </c>
      <c r="S99" s="3">
        <v>-1.78</v>
      </c>
      <c r="T99" s="3">
        <f t="shared" si="13"/>
        <v>78.365351500912993</v>
      </c>
      <c r="U99" s="3" t="s">
        <v>40</v>
      </c>
      <c r="V99" s="3" t="s">
        <v>50</v>
      </c>
      <c r="W99" s="3" t="s">
        <v>456</v>
      </c>
      <c r="X99" s="8">
        <f>(0.6848+R99/0.901)/10</f>
        <v>42.17169864594895</v>
      </c>
      <c r="Y99" s="8">
        <f>(0.6848+T99/0.901)/10</f>
        <v>8.7660772809004435</v>
      </c>
      <c r="Z99" s="6">
        <v>20.399999999999999</v>
      </c>
      <c r="AA99" s="3" t="s">
        <v>50</v>
      </c>
      <c r="AB99" s="3" t="s">
        <v>35</v>
      </c>
      <c r="AC99" s="3" t="s">
        <v>456</v>
      </c>
      <c r="AD99" s="9">
        <v>23.326309433962262</v>
      </c>
      <c r="AE99" s="6" t="s">
        <v>457</v>
      </c>
      <c r="AF99" s="2" t="s">
        <v>458</v>
      </c>
      <c r="AG99" s="6">
        <v>12</v>
      </c>
      <c r="AH99" s="2" t="s">
        <v>638</v>
      </c>
    </row>
    <row r="100" spans="1:35" x14ac:dyDescent="0.3">
      <c r="A100" s="3" t="s">
        <v>143</v>
      </c>
      <c r="B100" s="4" t="s">
        <v>459</v>
      </c>
      <c r="C100" s="3" t="s">
        <v>460</v>
      </c>
      <c r="D100" s="5" t="s">
        <v>461</v>
      </c>
      <c r="E100" s="5" t="s">
        <v>462</v>
      </c>
      <c r="F100" s="3" t="str">
        <f t="shared" si="14"/>
        <v>Atheresthes stomias</v>
      </c>
      <c r="G100" s="2" t="s">
        <v>705</v>
      </c>
      <c r="H100" s="6" t="s">
        <v>463</v>
      </c>
      <c r="I100" s="3">
        <f>AVERAGE(0.14, 0.24)</f>
        <v>0.19</v>
      </c>
      <c r="J100" s="3" t="s">
        <v>38</v>
      </c>
      <c r="K100" s="3" t="s">
        <v>420</v>
      </c>
      <c r="L100" s="3" t="s">
        <v>464</v>
      </c>
      <c r="M100" s="6">
        <v>25</v>
      </c>
      <c r="N100" s="2" t="s">
        <v>464</v>
      </c>
      <c r="O100" s="10">
        <v>5.4705996363653746</v>
      </c>
      <c r="P100" s="2" t="s">
        <v>34</v>
      </c>
      <c r="Q100" s="6">
        <f>AVERAGE(0.14, 0.16)</f>
        <v>0.15000000000000002</v>
      </c>
      <c r="R100" s="3">
        <f>AVERAGE(73.8, 85)</f>
        <v>79.400000000000006</v>
      </c>
      <c r="S100" s="3">
        <f>AVERAGE(0.2, 0.81)*-1</f>
        <v>-0.505</v>
      </c>
      <c r="T100" s="3">
        <f t="shared" si="13"/>
        <v>5.7923935976304843</v>
      </c>
      <c r="U100" s="3" t="s">
        <v>35</v>
      </c>
      <c r="V100" s="3" t="s">
        <v>50</v>
      </c>
      <c r="W100" s="3" t="s">
        <v>465</v>
      </c>
      <c r="X100" s="8">
        <f t="shared" ref="X100:X105" si="15">R100</f>
        <v>79.400000000000006</v>
      </c>
      <c r="Y100" s="8">
        <f t="shared" ref="Y100:Y105" si="16">T100</f>
        <v>5.7923935976304843</v>
      </c>
      <c r="Z100" s="6">
        <v>47</v>
      </c>
      <c r="AA100" s="3" t="s">
        <v>50</v>
      </c>
      <c r="AB100" s="3" t="s">
        <v>35</v>
      </c>
      <c r="AC100" s="3" t="s">
        <v>466</v>
      </c>
      <c r="AD100" s="2">
        <v>47</v>
      </c>
      <c r="AE100" s="6" t="s">
        <v>34</v>
      </c>
      <c r="AF100" s="2" t="s">
        <v>34</v>
      </c>
      <c r="AG100" s="6">
        <v>4</v>
      </c>
      <c r="AH100" s="2" t="s">
        <v>638</v>
      </c>
      <c r="AI100" s="7" t="s">
        <v>467</v>
      </c>
    </row>
    <row r="101" spans="1:35" x14ac:dyDescent="0.3">
      <c r="A101" s="3" t="s">
        <v>143</v>
      </c>
      <c r="B101" s="4" t="s">
        <v>459</v>
      </c>
      <c r="C101" s="3" t="s">
        <v>460</v>
      </c>
      <c r="D101" s="5" t="s">
        <v>461</v>
      </c>
      <c r="E101" s="5" t="s">
        <v>462</v>
      </c>
      <c r="F101" s="3" t="str">
        <f t="shared" si="14"/>
        <v>Atheresthes stomias</v>
      </c>
      <c r="G101" s="2" t="s">
        <v>705</v>
      </c>
      <c r="H101" s="6" t="s">
        <v>463</v>
      </c>
      <c r="I101" s="3">
        <f>AVERAGE(0.16, 0.39)</f>
        <v>0.27500000000000002</v>
      </c>
      <c r="J101" s="3" t="s">
        <v>37</v>
      </c>
      <c r="K101" s="3" t="s">
        <v>420</v>
      </c>
      <c r="L101" s="3" t="s">
        <v>464</v>
      </c>
      <c r="M101" s="6">
        <v>20</v>
      </c>
      <c r="N101" s="2" t="s">
        <v>464</v>
      </c>
      <c r="O101" s="10">
        <v>6.8489201651564935</v>
      </c>
      <c r="P101" s="2" t="s">
        <v>34</v>
      </c>
      <c r="Q101" s="6">
        <f>AVERAGE(0.23, 0.17)</f>
        <v>0.2</v>
      </c>
      <c r="R101" s="3">
        <f>AVERAGE(45.9, 57.9)</f>
        <v>51.9</v>
      </c>
      <c r="S101" s="3">
        <f>AVERAGE(0.7, 2.17)*-1</f>
        <v>-1.4350000000000001</v>
      </c>
      <c r="T101" s="3">
        <f t="shared" si="13"/>
        <v>12.948441273356172</v>
      </c>
      <c r="U101" s="3" t="s">
        <v>35</v>
      </c>
      <c r="V101" s="3" t="s">
        <v>50</v>
      </c>
      <c r="W101" s="3" t="s">
        <v>465</v>
      </c>
      <c r="X101" s="8">
        <f t="shared" si="15"/>
        <v>51.9</v>
      </c>
      <c r="Y101" s="8">
        <f t="shared" si="16"/>
        <v>12.948441273356172</v>
      </c>
      <c r="Z101" s="6">
        <v>42</v>
      </c>
      <c r="AA101" s="3" t="s">
        <v>50</v>
      </c>
      <c r="AB101" s="3" t="s">
        <v>35</v>
      </c>
      <c r="AC101" s="3" t="s">
        <v>466</v>
      </c>
      <c r="AD101" s="2">
        <v>42</v>
      </c>
      <c r="AE101" s="6" t="s">
        <v>34</v>
      </c>
      <c r="AF101" s="2" t="s">
        <v>34</v>
      </c>
      <c r="AG101" s="6">
        <v>4</v>
      </c>
      <c r="AH101" s="2" t="s">
        <v>638</v>
      </c>
      <c r="AI101" s="7" t="s">
        <v>467</v>
      </c>
    </row>
    <row r="102" spans="1:35" x14ac:dyDescent="0.3">
      <c r="A102" s="3" t="s">
        <v>143</v>
      </c>
      <c r="B102" s="4" t="s">
        <v>459</v>
      </c>
      <c r="C102" s="3" t="s">
        <v>460</v>
      </c>
      <c r="D102" s="5" t="s">
        <v>468</v>
      </c>
      <c r="E102" s="5" t="s">
        <v>469</v>
      </c>
      <c r="F102" s="3" t="str">
        <f t="shared" si="14"/>
        <v>Hippoglossoides platessoides</v>
      </c>
      <c r="G102" s="2" t="s">
        <v>470</v>
      </c>
      <c r="H102" s="6" t="s">
        <v>653</v>
      </c>
      <c r="I102" s="3">
        <v>0.18</v>
      </c>
      <c r="J102" s="3" t="s">
        <v>38</v>
      </c>
      <c r="K102" s="3" t="s">
        <v>33</v>
      </c>
      <c r="L102" s="3" t="s">
        <v>471</v>
      </c>
      <c r="M102" s="6">
        <v>32</v>
      </c>
      <c r="N102" s="2" t="s">
        <v>471</v>
      </c>
      <c r="O102" s="10">
        <v>15.15</v>
      </c>
      <c r="P102" s="2" t="s">
        <v>472</v>
      </c>
      <c r="Q102" s="6">
        <v>7.0000000000000007E-2</v>
      </c>
      <c r="R102" s="3">
        <v>60</v>
      </c>
      <c r="S102" s="3">
        <v>-0.02</v>
      </c>
      <c r="T102" s="3">
        <f t="shared" si="13"/>
        <v>8.3941227430399667E-2</v>
      </c>
      <c r="U102" s="3" t="s">
        <v>35</v>
      </c>
      <c r="V102" s="3" t="s">
        <v>34</v>
      </c>
      <c r="W102" s="3" t="s">
        <v>473</v>
      </c>
      <c r="X102" s="8">
        <f t="shared" si="15"/>
        <v>60</v>
      </c>
      <c r="Y102" s="8">
        <f t="shared" si="16"/>
        <v>8.3941227430399667E-2</v>
      </c>
      <c r="Z102" s="6">
        <v>40.200000000000003</v>
      </c>
      <c r="AA102" s="3" t="s">
        <v>34</v>
      </c>
      <c r="AB102" s="3" t="s">
        <v>35</v>
      </c>
      <c r="AC102" s="3" t="s">
        <v>472</v>
      </c>
      <c r="AD102" s="9">
        <v>40.200000000000003</v>
      </c>
      <c r="AE102" s="6" t="s">
        <v>34</v>
      </c>
      <c r="AF102" s="2" t="s">
        <v>34</v>
      </c>
      <c r="AG102" s="6">
        <v>15</v>
      </c>
      <c r="AH102" s="2" t="s">
        <v>638</v>
      </c>
    </row>
    <row r="103" spans="1:35" x14ac:dyDescent="0.3">
      <c r="A103" s="3" t="s">
        <v>143</v>
      </c>
      <c r="B103" s="4" t="s">
        <v>459</v>
      </c>
      <c r="C103" s="3" t="s">
        <v>460</v>
      </c>
      <c r="D103" s="5" t="s">
        <v>468</v>
      </c>
      <c r="E103" s="5" t="s">
        <v>469</v>
      </c>
      <c r="F103" s="3" t="str">
        <f t="shared" si="14"/>
        <v>Hippoglossoides platessoides</v>
      </c>
      <c r="G103" s="2" t="s">
        <v>470</v>
      </c>
      <c r="H103" s="6" t="s">
        <v>653</v>
      </c>
      <c r="I103" s="3">
        <v>0.27</v>
      </c>
      <c r="J103" s="3" t="s">
        <v>37</v>
      </c>
      <c r="K103" s="3" t="s">
        <v>33</v>
      </c>
      <c r="L103" s="3" t="s">
        <v>471</v>
      </c>
      <c r="M103" s="6">
        <v>25</v>
      </c>
      <c r="N103" s="2" t="s">
        <v>471</v>
      </c>
      <c r="O103" s="10">
        <v>5.8</v>
      </c>
      <c r="P103" s="2" t="s">
        <v>472</v>
      </c>
      <c r="Q103" s="6">
        <v>0.09</v>
      </c>
      <c r="R103" s="3">
        <v>50</v>
      </c>
      <c r="S103" s="3">
        <v>-0.13</v>
      </c>
      <c r="T103" s="3">
        <f t="shared" si="13"/>
        <v>0.58159105782685794</v>
      </c>
      <c r="U103" s="3" t="s">
        <v>35</v>
      </c>
      <c r="V103" s="3" t="s">
        <v>34</v>
      </c>
      <c r="W103" s="3" t="s">
        <v>473</v>
      </c>
      <c r="X103" s="8">
        <f t="shared" si="15"/>
        <v>50</v>
      </c>
      <c r="Y103" s="8">
        <f t="shared" si="16"/>
        <v>0.58159105782685794</v>
      </c>
      <c r="Z103" s="6">
        <v>20</v>
      </c>
      <c r="AA103" s="3" t="s">
        <v>34</v>
      </c>
      <c r="AB103" s="3" t="s">
        <v>35</v>
      </c>
      <c r="AC103" s="3" t="s">
        <v>472</v>
      </c>
      <c r="AD103" s="9">
        <v>20</v>
      </c>
      <c r="AE103" s="6" t="s">
        <v>34</v>
      </c>
      <c r="AF103" s="2" t="s">
        <v>34</v>
      </c>
      <c r="AG103" s="6">
        <v>15</v>
      </c>
      <c r="AH103" s="2" t="s">
        <v>638</v>
      </c>
    </row>
    <row r="104" spans="1:35" x14ac:dyDescent="0.3">
      <c r="A104" s="3" t="s">
        <v>143</v>
      </c>
      <c r="B104" s="4" t="s">
        <v>459</v>
      </c>
      <c r="C104" s="3" t="s">
        <v>460</v>
      </c>
      <c r="D104" s="5" t="s">
        <v>474</v>
      </c>
      <c r="E104" s="5" t="s">
        <v>475</v>
      </c>
      <c r="F104" s="3" t="str">
        <f t="shared" si="14"/>
        <v>Hippoglossus stenolepis</v>
      </c>
      <c r="G104" s="2" t="s">
        <v>476</v>
      </c>
      <c r="H104" s="6" t="s">
        <v>477</v>
      </c>
      <c r="I104" s="3">
        <v>0.19800000000000001</v>
      </c>
      <c r="J104" s="3" t="s">
        <v>32</v>
      </c>
      <c r="K104" s="3" t="s">
        <v>64</v>
      </c>
      <c r="L104" s="3" t="s">
        <v>478</v>
      </c>
      <c r="M104" s="6">
        <v>55</v>
      </c>
      <c r="N104" s="2" t="s">
        <v>479</v>
      </c>
      <c r="O104" s="10" t="s">
        <v>34</v>
      </c>
      <c r="P104" s="2" t="s">
        <v>34</v>
      </c>
      <c r="Q104" s="6">
        <f>AVERAGE(AVERAGE(0.105, 0.076, 0.063, 0.057, 0.073, 0.073, 0.109, 0.079, 0.064), AVERAGE(0.095, 0.069, 0.11, 0.073, 0.083, 0.086, 0.08, 0.068, 0.065))</f>
        <v>7.9333333333333339E-2</v>
      </c>
      <c r="R104" s="3">
        <f>AVERAGE(AVERAGE(126.1, 165.3, 192.2, 147.6, 135.6, 153.6, 167.3, 199.5, 153.4), AVERAGE(99.3, 107.6, 104.3, 97.8, 97, 107, 126.8, 125.7, 114.6))</f>
        <v>134.48333333333335</v>
      </c>
      <c r="S104" s="3">
        <f>AVERAGE(AVERAGE(2.3, 4.62, 6.08, 5.81, 4.33, 5.16, 4.75, 5.86, 6.23), AVERAGE(4.53, 7.45, 3.65, 4.25, 4.9, 3.94, 3.6, 4.61))*-1</f>
        <v>-4.8159027777777776</v>
      </c>
      <c r="T104" s="3">
        <f t="shared" si="13"/>
        <v>42.704779197508074</v>
      </c>
      <c r="U104" s="3" t="s">
        <v>35</v>
      </c>
      <c r="V104" s="3" t="s">
        <v>50</v>
      </c>
      <c r="W104" s="3" t="s">
        <v>480</v>
      </c>
      <c r="X104" s="8">
        <f t="shared" si="15"/>
        <v>134.48333333333335</v>
      </c>
      <c r="Y104" s="8">
        <f t="shared" si="16"/>
        <v>42.704779197508074</v>
      </c>
      <c r="Z104" s="6" t="s">
        <v>34</v>
      </c>
      <c r="AA104" s="3" t="s">
        <v>34</v>
      </c>
      <c r="AB104" s="3" t="s">
        <v>34</v>
      </c>
      <c r="AC104" s="3" t="s">
        <v>34</v>
      </c>
      <c r="AD104" s="2" t="s">
        <v>34</v>
      </c>
      <c r="AE104" s="6" t="s">
        <v>34</v>
      </c>
      <c r="AF104" s="2" t="s">
        <v>34</v>
      </c>
      <c r="AG104" s="6">
        <v>5</v>
      </c>
      <c r="AH104" s="2" t="s">
        <v>638</v>
      </c>
      <c r="AI104" s="7" t="s">
        <v>663</v>
      </c>
    </row>
    <row r="105" spans="1:35" x14ac:dyDescent="0.3">
      <c r="A105" s="3" t="s">
        <v>143</v>
      </c>
      <c r="B105" s="4" t="s">
        <v>459</v>
      </c>
      <c r="C105" s="3" t="s">
        <v>460</v>
      </c>
      <c r="D105" s="5" t="s">
        <v>481</v>
      </c>
      <c r="E105" s="5" t="s">
        <v>482</v>
      </c>
      <c r="F105" s="3" t="str">
        <f t="shared" si="14"/>
        <v>Limanda ferruginea</v>
      </c>
      <c r="G105" s="2" t="s">
        <v>706</v>
      </c>
      <c r="H105" s="6" t="s">
        <v>483</v>
      </c>
      <c r="I105" s="3">
        <v>0.25600000000000001</v>
      </c>
      <c r="J105" s="3" t="s">
        <v>32</v>
      </c>
      <c r="K105" s="3" t="s">
        <v>64</v>
      </c>
      <c r="L105" s="3" t="s">
        <v>484</v>
      </c>
      <c r="M105" s="6">
        <f>AVERAGE(21, 25)</f>
        <v>23</v>
      </c>
      <c r="N105" s="2" t="s">
        <v>485</v>
      </c>
      <c r="O105" s="10">
        <v>5.8249999999999993</v>
      </c>
      <c r="P105" s="2" t="s">
        <v>486</v>
      </c>
      <c r="Q105" s="6">
        <v>0.16</v>
      </c>
      <c r="R105" s="3">
        <v>55.6</v>
      </c>
      <c r="S105" s="3">
        <v>-3.0000000000000001E-3</v>
      </c>
      <c r="T105" s="3">
        <f t="shared" si="13"/>
        <v>2.6681595904694346E-2</v>
      </c>
      <c r="U105" s="3" t="s">
        <v>35</v>
      </c>
      <c r="V105" s="3" t="s">
        <v>36</v>
      </c>
      <c r="W105" s="3" t="s">
        <v>485</v>
      </c>
      <c r="X105" s="8">
        <f t="shared" si="15"/>
        <v>55.6</v>
      </c>
      <c r="Y105" s="8">
        <f t="shared" si="16"/>
        <v>2.6681595904694346E-2</v>
      </c>
      <c r="Z105" s="6">
        <f>AVERAGE(30.7, 25,32.5, 34.9)</f>
        <v>30.774999999999999</v>
      </c>
      <c r="AA105" s="3" t="s">
        <v>34</v>
      </c>
      <c r="AB105" s="3" t="s">
        <v>35</v>
      </c>
      <c r="AC105" s="3" t="s">
        <v>486</v>
      </c>
      <c r="AD105" s="9">
        <v>30.774999999999999</v>
      </c>
      <c r="AE105" s="6" t="s">
        <v>34</v>
      </c>
      <c r="AF105" s="2" t="s">
        <v>34</v>
      </c>
      <c r="AG105" s="6">
        <v>10</v>
      </c>
      <c r="AH105" s="2" t="s">
        <v>638</v>
      </c>
      <c r="AI105" s="7" t="s">
        <v>487</v>
      </c>
    </row>
    <row r="106" spans="1:35" x14ac:dyDescent="0.3">
      <c r="A106" s="3" t="s">
        <v>143</v>
      </c>
      <c r="B106" s="4" t="s">
        <v>488</v>
      </c>
      <c r="C106" s="3" t="s">
        <v>489</v>
      </c>
      <c r="D106" s="5" t="s">
        <v>490</v>
      </c>
      <c r="E106" s="5" t="s">
        <v>491</v>
      </c>
      <c r="F106" s="3" t="str">
        <f t="shared" si="14"/>
        <v>Hemilepidotus jordani</v>
      </c>
      <c r="G106" s="2" t="s">
        <v>707</v>
      </c>
      <c r="H106" s="6" t="s">
        <v>492</v>
      </c>
      <c r="I106" s="3">
        <v>0.14000000000000001</v>
      </c>
      <c r="J106" s="3" t="s">
        <v>38</v>
      </c>
      <c r="K106" s="3" t="s">
        <v>33</v>
      </c>
      <c r="L106" s="3" t="s">
        <v>493</v>
      </c>
      <c r="M106" s="6">
        <v>26</v>
      </c>
      <c r="N106" s="2" t="s">
        <v>493</v>
      </c>
      <c r="O106" s="10" t="s">
        <v>34</v>
      </c>
      <c r="P106" s="2" t="s">
        <v>34</v>
      </c>
      <c r="Q106" s="6">
        <v>0.17100000000000001</v>
      </c>
      <c r="R106" s="3">
        <v>44.2</v>
      </c>
      <c r="S106" s="3">
        <v>-1.258</v>
      </c>
      <c r="T106" s="3">
        <f t="shared" si="13"/>
        <v>8.5550746935180477</v>
      </c>
      <c r="U106" s="3" t="s">
        <v>35</v>
      </c>
      <c r="V106" s="3" t="s">
        <v>50</v>
      </c>
      <c r="W106" s="3" t="s">
        <v>494</v>
      </c>
      <c r="X106" s="8">
        <f>1*R106</f>
        <v>44.2</v>
      </c>
      <c r="Y106" s="8">
        <f>1*T106</f>
        <v>8.5550746935180477</v>
      </c>
      <c r="Z106" s="6" t="s">
        <v>34</v>
      </c>
      <c r="AA106" s="3" t="s">
        <v>34</v>
      </c>
      <c r="AB106" s="3" t="s">
        <v>34</v>
      </c>
      <c r="AC106" s="3" t="s">
        <v>34</v>
      </c>
      <c r="AD106" s="2" t="s">
        <v>34</v>
      </c>
      <c r="AE106" s="6" t="s">
        <v>326</v>
      </c>
      <c r="AF106" s="2" t="s">
        <v>53</v>
      </c>
      <c r="AG106" s="6">
        <v>3.5</v>
      </c>
      <c r="AH106" s="2" t="s">
        <v>53</v>
      </c>
      <c r="AI106" s="7" t="s">
        <v>495</v>
      </c>
    </row>
    <row r="107" spans="1:35" x14ac:dyDescent="0.3">
      <c r="A107" s="3" t="s">
        <v>143</v>
      </c>
      <c r="B107" s="4" t="s">
        <v>488</v>
      </c>
      <c r="C107" s="3" t="s">
        <v>489</v>
      </c>
      <c r="D107" s="5" t="s">
        <v>490</v>
      </c>
      <c r="E107" s="5" t="s">
        <v>491</v>
      </c>
      <c r="F107" s="3" t="str">
        <f t="shared" si="14"/>
        <v>Hemilepidotus jordani</v>
      </c>
      <c r="G107" s="2" t="s">
        <v>707</v>
      </c>
      <c r="H107" s="6" t="s">
        <v>496</v>
      </c>
      <c r="I107" s="3">
        <f>AVERAGE(0.16, 0.16)</f>
        <v>0.16</v>
      </c>
      <c r="J107" s="3" t="s">
        <v>38</v>
      </c>
      <c r="K107" s="3" t="s">
        <v>33</v>
      </c>
      <c r="L107" s="3" t="s">
        <v>493</v>
      </c>
      <c r="M107" s="6">
        <v>28</v>
      </c>
      <c r="N107" s="2" t="s">
        <v>493</v>
      </c>
      <c r="O107" s="10" t="s">
        <v>34</v>
      </c>
      <c r="P107" s="2" t="s">
        <v>34</v>
      </c>
      <c r="Q107" s="6">
        <v>0.29499999999999998</v>
      </c>
      <c r="R107" s="3">
        <v>42.1</v>
      </c>
      <c r="S107" s="3">
        <v>-2.1999999999999999E-2</v>
      </c>
      <c r="T107" s="3">
        <f t="shared" si="13"/>
        <v>0.27234428685909839</v>
      </c>
      <c r="U107" s="3" t="s">
        <v>35</v>
      </c>
      <c r="V107" s="3" t="s">
        <v>50</v>
      </c>
      <c r="W107" s="3" t="s">
        <v>494</v>
      </c>
      <c r="X107" s="8">
        <f>1*R107</f>
        <v>42.1</v>
      </c>
      <c r="Y107" s="8">
        <f>1*T107</f>
        <v>0.27234428685909839</v>
      </c>
      <c r="Z107" s="6" t="s">
        <v>34</v>
      </c>
      <c r="AA107" s="3" t="s">
        <v>34</v>
      </c>
      <c r="AB107" s="3" t="s">
        <v>34</v>
      </c>
      <c r="AC107" s="3" t="s">
        <v>34</v>
      </c>
      <c r="AD107" s="2" t="s">
        <v>34</v>
      </c>
      <c r="AE107" s="6" t="s">
        <v>326</v>
      </c>
      <c r="AF107" s="2" t="s">
        <v>53</v>
      </c>
      <c r="AG107" s="6">
        <v>3.5</v>
      </c>
      <c r="AH107" s="2" t="s">
        <v>53</v>
      </c>
      <c r="AI107" s="7" t="s">
        <v>495</v>
      </c>
    </row>
    <row r="108" spans="1:35" x14ac:dyDescent="0.3">
      <c r="A108" s="3" t="s">
        <v>143</v>
      </c>
      <c r="B108" s="4" t="s">
        <v>488</v>
      </c>
      <c r="C108" s="3" t="s">
        <v>489</v>
      </c>
      <c r="D108" s="5" t="s">
        <v>490</v>
      </c>
      <c r="E108" s="5" t="s">
        <v>491</v>
      </c>
      <c r="F108" s="3" t="str">
        <f t="shared" si="14"/>
        <v>Hemilepidotus jordani</v>
      </c>
      <c r="G108" s="2" t="s">
        <v>707</v>
      </c>
      <c r="H108" s="6" t="s">
        <v>492</v>
      </c>
      <c r="I108" s="3">
        <v>0.22</v>
      </c>
      <c r="J108" s="3" t="s">
        <v>37</v>
      </c>
      <c r="K108" s="3" t="s">
        <v>33</v>
      </c>
      <c r="L108" s="3" t="s">
        <v>493</v>
      </c>
      <c r="M108" s="6">
        <v>20</v>
      </c>
      <c r="N108" s="2" t="s">
        <v>493</v>
      </c>
      <c r="O108" s="10" t="s">
        <v>34</v>
      </c>
      <c r="P108" s="2" t="s">
        <v>34</v>
      </c>
      <c r="Q108" s="6">
        <v>0.14699999999999999</v>
      </c>
      <c r="R108" s="3">
        <v>52.2</v>
      </c>
      <c r="S108" s="3">
        <v>-0.85099999999999998</v>
      </c>
      <c r="T108" s="3">
        <f t="shared" si="13"/>
        <v>6.1381299031885828</v>
      </c>
      <c r="U108" s="3" t="s">
        <v>35</v>
      </c>
      <c r="V108" s="3" t="s">
        <v>50</v>
      </c>
      <c r="W108" s="3" t="s">
        <v>494</v>
      </c>
      <c r="X108" s="8">
        <f>1*R108</f>
        <v>52.2</v>
      </c>
      <c r="Y108" s="8">
        <f>1*T108</f>
        <v>6.1381299031885828</v>
      </c>
      <c r="Z108" s="6" t="s">
        <v>34</v>
      </c>
      <c r="AA108" s="3" t="s">
        <v>34</v>
      </c>
      <c r="AB108" s="3" t="s">
        <v>34</v>
      </c>
      <c r="AC108" s="3" t="s">
        <v>34</v>
      </c>
      <c r="AD108" s="2" t="s">
        <v>34</v>
      </c>
      <c r="AE108" s="6" t="s">
        <v>326</v>
      </c>
      <c r="AF108" s="2" t="s">
        <v>53</v>
      </c>
      <c r="AG108" s="6">
        <v>3.5</v>
      </c>
      <c r="AH108" s="2" t="s">
        <v>53</v>
      </c>
      <c r="AI108" s="7" t="s">
        <v>495</v>
      </c>
    </row>
    <row r="109" spans="1:35" x14ac:dyDescent="0.3">
      <c r="A109" s="3" t="s">
        <v>143</v>
      </c>
      <c r="B109" s="4" t="s">
        <v>488</v>
      </c>
      <c r="C109" s="3" t="s">
        <v>489</v>
      </c>
      <c r="D109" s="5" t="s">
        <v>490</v>
      </c>
      <c r="E109" s="5" t="s">
        <v>491</v>
      </c>
      <c r="F109" s="3" t="str">
        <f t="shared" si="14"/>
        <v>Hemilepidotus jordani</v>
      </c>
      <c r="G109" s="2" t="s">
        <v>707</v>
      </c>
      <c r="H109" s="6" t="s">
        <v>496</v>
      </c>
      <c r="I109" s="3">
        <f>AVERAGE(0.19, 0.2)</f>
        <v>0.19500000000000001</v>
      </c>
      <c r="J109" s="3" t="s">
        <v>37</v>
      </c>
      <c r="K109" s="3" t="s">
        <v>33</v>
      </c>
      <c r="L109" s="3" t="s">
        <v>493</v>
      </c>
      <c r="M109" s="6">
        <v>24</v>
      </c>
      <c r="N109" s="2" t="s">
        <v>493</v>
      </c>
      <c r="O109" s="10" t="s">
        <v>34</v>
      </c>
      <c r="P109" s="2" t="s">
        <v>34</v>
      </c>
      <c r="Q109" s="6">
        <v>0.25700000000000001</v>
      </c>
      <c r="R109" s="3">
        <v>46.8</v>
      </c>
      <c r="S109" s="3">
        <v>-7.0999999999999994E-2</v>
      </c>
      <c r="T109" s="3">
        <f t="shared" si="13"/>
        <v>0.84621567227311212</v>
      </c>
      <c r="U109" s="3" t="s">
        <v>35</v>
      </c>
      <c r="V109" s="3" t="s">
        <v>50</v>
      </c>
      <c r="W109" s="3" t="s">
        <v>494</v>
      </c>
      <c r="X109" s="8">
        <f>1*R109</f>
        <v>46.8</v>
      </c>
      <c r="Y109" s="8">
        <f>1*T109</f>
        <v>0.84621567227311212</v>
      </c>
      <c r="Z109" s="6" t="s">
        <v>34</v>
      </c>
      <c r="AA109" s="3" t="s">
        <v>34</v>
      </c>
      <c r="AB109" s="3" t="s">
        <v>34</v>
      </c>
      <c r="AC109" s="3" t="s">
        <v>34</v>
      </c>
      <c r="AD109" s="2" t="s">
        <v>34</v>
      </c>
      <c r="AE109" s="6" t="s">
        <v>326</v>
      </c>
      <c r="AF109" s="2" t="s">
        <v>53</v>
      </c>
      <c r="AG109" s="6">
        <v>3.5</v>
      </c>
      <c r="AH109" s="2" t="s">
        <v>53</v>
      </c>
      <c r="AI109" s="7" t="s">
        <v>495</v>
      </c>
    </row>
    <row r="110" spans="1:35" x14ac:dyDescent="0.3">
      <c r="A110" s="3" t="s">
        <v>143</v>
      </c>
      <c r="B110" s="4" t="s">
        <v>488</v>
      </c>
      <c r="C110" s="3" t="s">
        <v>497</v>
      </c>
      <c r="D110" s="5" t="s">
        <v>498</v>
      </c>
      <c r="E110" s="5" t="s">
        <v>499</v>
      </c>
      <c r="F110" s="3" t="str">
        <f t="shared" si="14"/>
        <v>Sebastes brevispinis</v>
      </c>
      <c r="G110" s="2" t="s">
        <v>708</v>
      </c>
      <c r="H110" s="6" t="s">
        <v>500</v>
      </c>
      <c r="I110" s="3">
        <f>AVERAGE(0.05, 0.02, 0.03, 0.02, 0.04, 0.04, 0.04)</f>
        <v>3.4285714285714287E-2</v>
      </c>
      <c r="J110" s="3" t="s">
        <v>38</v>
      </c>
      <c r="K110" s="3" t="s">
        <v>33</v>
      </c>
      <c r="L110" s="3" t="s">
        <v>501</v>
      </c>
      <c r="M110" s="6">
        <v>80</v>
      </c>
      <c r="N110" s="2" t="s">
        <v>501</v>
      </c>
      <c r="O110" s="10">
        <v>10</v>
      </c>
      <c r="P110" s="2" t="s">
        <v>502</v>
      </c>
      <c r="Q110" s="6">
        <v>6.9000000000000006E-2</v>
      </c>
      <c r="R110" s="3">
        <v>601</v>
      </c>
      <c r="S110" s="3">
        <v>-8.4600000000000009</v>
      </c>
      <c r="T110" s="3">
        <f t="shared" si="13"/>
        <v>265.75723717369414</v>
      </c>
      <c r="U110" s="3" t="s">
        <v>40</v>
      </c>
      <c r="V110" s="3" t="s">
        <v>50</v>
      </c>
      <c r="W110" s="3" t="s">
        <v>501</v>
      </c>
      <c r="X110" s="8">
        <f>1.027*R110/10</f>
        <v>61.722699999999996</v>
      </c>
      <c r="Y110" s="8">
        <f>1.027*T110/10</f>
        <v>27.293268257738383</v>
      </c>
      <c r="Z110" s="6">
        <v>46</v>
      </c>
      <c r="AA110" s="3" t="s">
        <v>50</v>
      </c>
      <c r="AB110" s="3" t="s">
        <v>35</v>
      </c>
      <c r="AC110" s="3" t="s">
        <v>502</v>
      </c>
      <c r="AD110" s="9">
        <v>47.241999999999997</v>
      </c>
      <c r="AE110" s="6" t="s">
        <v>503</v>
      </c>
      <c r="AF110" s="2" t="s">
        <v>53</v>
      </c>
      <c r="AG110" s="6">
        <v>5.4</v>
      </c>
      <c r="AH110" s="2" t="s">
        <v>638</v>
      </c>
      <c r="AI110" s="7" t="s">
        <v>504</v>
      </c>
    </row>
    <row r="111" spans="1:35" x14ac:dyDescent="0.3">
      <c r="A111" s="3" t="s">
        <v>143</v>
      </c>
      <c r="B111" s="4" t="s">
        <v>488</v>
      </c>
      <c r="C111" s="3" t="s">
        <v>497</v>
      </c>
      <c r="D111" s="5" t="s">
        <v>498</v>
      </c>
      <c r="E111" s="5" t="s">
        <v>499</v>
      </c>
      <c r="F111" s="3" t="str">
        <f t="shared" si="14"/>
        <v>Sebastes brevispinis</v>
      </c>
      <c r="G111" s="2" t="s">
        <v>708</v>
      </c>
      <c r="H111" s="6" t="s">
        <v>500</v>
      </c>
      <c r="I111" s="3">
        <f>AVERAGE(0.03, 0.06, 0.03, 0.03, 0.01, 0.04, 0.04, 0.04, 0.03)</f>
        <v>3.4444444444444451E-2</v>
      </c>
      <c r="J111" s="3" t="s">
        <v>37</v>
      </c>
      <c r="K111" s="3" t="s">
        <v>33</v>
      </c>
      <c r="L111" s="3" t="s">
        <v>501</v>
      </c>
      <c r="M111" s="6">
        <v>70</v>
      </c>
      <c r="N111" s="2" t="s">
        <v>501</v>
      </c>
      <c r="O111" s="10">
        <v>9</v>
      </c>
      <c r="P111" s="2" t="s">
        <v>502</v>
      </c>
      <c r="Q111" s="6">
        <v>0.10100000000000001</v>
      </c>
      <c r="R111" s="3">
        <v>549</v>
      </c>
      <c r="S111" s="3">
        <v>-4.13</v>
      </c>
      <c r="T111" s="3">
        <f t="shared" si="13"/>
        <v>187.2445462166356</v>
      </c>
      <c r="U111" s="3" t="s">
        <v>40</v>
      </c>
      <c r="V111" s="3" t="s">
        <v>50</v>
      </c>
      <c r="W111" s="3" t="s">
        <v>501</v>
      </c>
      <c r="X111" s="8">
        <f>1.027*R111/10</f>
        <v>56.382300000000001</v>
      </c>
      <c r="Y111" s="8">
        <f>1.027*T111/10</f>
        <v>19.230014896448473</v>
      </c>
      <c r="Z111" s="6">
        <v>43</v>
      </c>
      <c r="AA111" s="3" t="s">
        <v>50</v>
      </c>
      <c r="AB111" s="3" t="s">
        <v>35</v>
      </c>
      <c r="AC111" s="3" t="s">
        <v>502</v>
      </c>
      <c r="AD111" s="9">
        <v>44.160999999999994</v>
      </c>
      <c r="AE111" s="6" t="s">
        <v>503</v>
      </c>
      <c r="AF111" s="2" t="s">
        <v>53</v>
      </c>
      <c r="AG111" s="6">
        <v>5.4</v>
      </c>
      <c r="AH111" s="2" t="s">
        <v>638</v>
      </c>
      <c r="AI111" s="7" t="s">
        <v>504</v>
      </c>
    </row>
    <row r="112" spans="1:35" x14ac:dyDescent="0.3">
      <c r="A112" s="3" t="s">
        <v>143</v>
      </c>
      <c r="B112" s="4" t="s">
        <v>488</v>
      </c>
      <c r="C112" s="3" t="s">
        <v>497</v>
      </c>
      <c r="D112" s="5" t="s">
        <v>498</v>
      </c>
      <c r="E112" s="5" t="s">
        <v>505</v>
      </c>
      <c r="F112" s="3" t="str">
        <f t="shared" si="14"/>
        <v>Sebastes crameri</v>
      </c>
      <c r="G112" s="2" t="s">
        <v>709</v>
      </c>
      <c r="H112" s="6" t="s">
        <v>506</v>
      </c>
      <c r="I112" s="3">
        <v>1.4E-2</v>
      </c>
      <c r="J112" s="3" t="s">
        <v>32</v>
      </c>
      <c r="K112" s="3" t="s">
        <v>33</v>
      </c>
      <c r="L112" s="3" t="s">
        <v>507</v>
      </c>
      <c r="M112" s="6">
        <f>AVERAGE(88, 105)</f>
        <v>96.5</v>
      </c>
      <c r="N112" s="2" t="s">
        <v>507</v>
      </c>
      <c r="O112" s="10">
        <v>6.75</v>
      </c>
      <c r="P112" s="2" t="s">
        <v>507</v>
      </c>
      <c r="Q112" s="6">
        <v>0.20530000000000001</v>
      </c>
      <c r="R112" s="3">
        <v>423</v>
      </c>
      <c r="S112" s="3">
        <v>-0.78</v>
      </c>
      <c r="T112" s="3">
        <f t="shared" si="13"/>
        <v>62.591475245501975</v>
      </c>
      <c r="U112" s="3" t="s">
        <v>40</v>
      </c>
      <c r="V112" s="3" t="s">
        <v>36</v>
      </c>
      <c r="W112" s="3" t="s">
        <v>507</v>
      </c>
      <c r="X112" s="8">
        <f>R112/10</f>
        <v>42.3</v>
      </c>
      <c r="Y112" s="8">
        <f>T112/10</f>
        <v>6.2591475245501975</v>
      </c>
      <c r="Z112" s="6">
        <f>AVERAGE(36.7, 29.6)</f>
        <v>33.150000000000006</v>
      </c>
      <c r="AA112" s="3" t="s">
        <v>36</v>
      </c>
      <c r="AB112" s="3" t="s">
        <v>35</v>
      </c>
      <c r="AC112" s="3" t="s">
        <v>507</v>
      </c>
      <c r="AD112" s="9">
        <v>33.150000000000006</v>
      </c>
      <c r="AE112" s="6" t="s">
        <v>508</v>
      </c>
      <c r="AF112" s="2" t="s">
        <v>509</v>
      </c>
      <c r="AG112" s="6">
        <v>12.5</v>
      </c>
      <c r="AH112" s="2" t="s">
        <v>638</v>
      </c>
      <c r="AI112" s="7" t="s">
        <v>654</v>
      </c>
    </row>
    <row r="113" spans="1:35" x14ac:dyDescent="0.3">
      <c r="A113" s="3" t="s">
        <v>143</v>
      </c>
      <c r="B113" s="4" t="s">
        <v>488</v>
      </c>
      <c r="C113" s="3" t="s">
        <v>497</v>
      </c>
      <c r="D113" s="5" t="s">
        <v>498</v>
      </c>
      <c r="E113" s="5" t="s">
        <v>510</v>
      </c>
      <c r="F113" s="3" t="str">
        <f t="shared" si="14"/>
        <v>Sebastes emphaeus</v>
      </c>
      <c r="G113" s="2" t="s">
        <v>511</v>
      </c>
      <c r="H113" s="6" t="s">
        <v>512</v>
      </c>
      <c r="I113" s="3">
        <v>0.44</v>
      </c>
      <c r="J113" s="3" t="s">
        <v>32</v>
      </c>
      <c r="K113" s="3" t="s">
        <v>33</v>
      </c>
      <c r="L113" s="3" t="s">
        <v>513</v>
      </c>
      <c r="M113" s="6">
        <f>AVERAGE(12, 13)</f>
        <v>12.5</v>
      </c>
      <c r="N113" s="2" t="s">
        <v>513</v>
      </c>
      <c r="O113" s="10">
        <v>1.87</v>
      </c>
      <c r="P113" s="2" t="s">
        <v>513</v>
      </c>
      <c r="Q113" s="6">
        <f>AVERAGE(0.7042, 0.5353)</f>
        <v>0.61975000000000002</v>
      </c>
      <c r="R113" s="3">
        <f>AVERAGE(137.39, 170.72)</f>
        <v>154.05500000000001</v>
      </c>
      <c r="S113" s="3">
        <f>AVERAGE(0.4603, 0.3232)*-1</f>
        <v>-0.39174999999999999</v>
      </c>
      <c r="T113" s="3">
        <f t="shared" si="13"/>
        <v>33.20832189594757</v>
      </c>
      <c r="U113" s="3" t="s">
        <v>40</v>
      </c>
      <c r="V113" s="3" t="s">
        <v>50</v>
      </c>
      <c r="W113" s="3" t="s">
        <v>513</v>
      </c>
      <c r="X113" s="8">
        <f>(1.042*R113)/10</f>
        <v>16.052531000000002</v>
      </c>
      <c r="Y113" s="8">
        <f>(1.042*T113)/10</f>
        <v>3.4603071415577369</v>
      </c>
      <c r="Z113" s="6">
        <v>121.71</v>
      </c>
      <c r="AA113" s="3" t="s">
        <v>50</v>
      </c>
      <c r="AB113" s="3" t="s">
        <v>40</v>
      </c>
      <c r="AC113" s="3" t="s">
        <v>513</v>
      </c>
      <c r="AD113" s="9">
        <v>12.682182000000001</v>
      </c>
      <c r="AE113" s="6" t="s">
        <v>514</v>
      </c>
      <c r="AF113" s="2" t="s">
        <v>53</v>
      </c>
      <c r="AG113" s="6">
        <v>10</v>
      </c>
      <c r="AH113" s="2" t="s">
        <v>638</v>
      </c>
      <c r="AI113" s="7" t="s">
        <v>515</v>
      </c>
    </row>
    <row r="114" spans="1:35" x14ac:dyDescent="0.3">
      <c r="A114" s="3" t="s">
        <v>143</v>
      </c>
      <c r="B114" s="4" t="s">
        <v>488</v>
      </c>
      <c r="C114" s="3" t="s">
        <v>497</v>
      </c>
      <c r="D114" s="5" t="s">
        <v>498</v>
      </c>
      <c r="E114" s="5" t="s">
        <v>516</v>
      </c>
      <c r="F114" s="3" t="str">
        <f t="shared" si="14"/>
        <v>Sebastes flavidus</v>
      </c>
      <c r="G114" s="2" t="s">
        <v>710</v>
      </c>
      <c r="H114" s="6" t="s">
        <v>517</v>
      </c>
      <c r="I114" s="3">
        <v>7.0000000000000007E-2</v>
      </c>
      <c r="J114" s="3" t="s">
        <v>32</v>
      </c>
      <c r="K114" s="3" t="s">
        <v>33</v>
      </c>
      <c r="L114" s="3" t="s">
        <v>518</v>
      </c>
      <c r="M114" s="6">
        <v>53</v>
      </c>
      <c r="N114" s="2" t="s">
        <v>518</v>
      </c>
      <c r="O114" s="10">
        <v>7.75</v>
      </c>
      <c r="P114" s="2" t="s">
        <v>519</v>
      </c>
      <c r="Q114" s="6">
        <v>0.186</v>
      </c>
      <c r="R114" s="3">
        <v>486</v>
      </c>
      <c r="S114" s="3">
        <v>-0.76</v>
      </c>
      <c r="T114" s="3">
        <f t="shared" si="13"/>
        <v>64.066118057029698</v>
      </c>
      <c r="U114" s="3" t="s">
        <v>40</v>
      </c>
      <c r="V114" s="3" t="s">
        <v>50</v>
      </c>
      <c r="W114" s="3" t="s">
        <v>501</v>
      </c>
      <c r="X114" s="8">
        <f>(2.358+1.025*R114)/10</f>
        <v>50.050799999999995</v>
      </c>
      <c r="Y114" s="8">
        <f>(2.358+1.025*T114)/10</f>
        <v>6.8025771008455438</v>
      </c>
      <c r="Z114" s="6">
        <f>AVERAGE(37, 45, 34, 41)</f>
        <v>39.25</v>
      </c>
      <c r="AA114" s="3" t="s">
        <v>36</v>
      </c>
      <c r="AB114" s="3" t="s">
        <v>35</v>
      </c>
      <c r="AC114" s="3" t="s">
        <v>519</v>
      </c>
      <c r="AD114" s="9">
        <v>39.25</v>
      </c>
      <c r="AE114" s="6" t="s">
        <v>520</v>
      </c>
      <c r="AF114" s="2" t="s">
        <v>509</v>
      </c>
      <c r="AG114" s="6">
        <v>8.5</v>
      </c>
      <c r="AH114" s="2" t="s">
        <v>638</v>
      </c>
      <c r="AI114" s="7" t="s">
        <v>521</v>
      </c>
    </row>
    <row r="115" spans="1:35" x14ac:dyDescent="0.3">
      <c r="A115" s="3" t="s">
        <v>143</v>
      </c>
      <c r="B115" s="4" t="s">
        <v>488</v>
      </c>
      <c r="C115" s="3" t="s">
        <v>497</v>
      </c>
      <c r="D115" s="5" t="s">
        <v>498</v>
      </c>
      <c r="E115" s="5" t="s">
        <v>522</v>
      </c>
      <c r="F115" s="3" t="str">
        <f t="shared" si="14"/>
        <v>Sebastes pinniger</v>
      </c>
      <c r="G115" s="2" t="s">
        <v>711</v>
      </c>
      <c r="H115" s="6" t="s">
        <v>500</v>
      </c>
      <c r="I115" s="3">
        <f>AVERAGE(0.01, 0.03, 0.04, 0.04, 0.07, 0.04, 0.04, 0.03, 0.03)</f>
        <v>3.6666666666666674E-2</v>
      </c>
      <c r="J115" s="3" t="s">
        <v>37</v>
      </c>
      <c r="K115" s="3" t="s">
        <v>33</v>
      </c>
      <c r="L115" s="3" t="s">
        <v>501</v>
      </c>
      <c r="M115" s="6">
        <v>75</v>
      </c>
      <c r="N115" s="2" t="s">
        <v>501</v>
      </c>
      <c r="O115" s="10">
        <v>7.5</v>
      </c>
      <c r="P115" s="2" t="s">
        <v>523</v>
      </c>
      <c r="Q115" s="6">
        <v>0.114</v>
      </c>
      <c r="R115" s="3">
        <v>541</v>
      </c>
      <c r="S115" s="3">
        <v>-3.98</v>
      </c>
      <c r="T115" s="3">
        <f t="shared" si="13"/>
        <v>197.32402551193709</v>
      </c>
      <c r="U115" s="3" t="s">
        <v>40</v>
      </c>
      <c r="V115" s="3" t="s">
        <v>50</v>
      </c>
      <c r="W115" s="3" t="s">
        <v>501</v>
      </c>
      <c r="X115" s="8">
        <f xml:space="preserve"> (-4.107+1.07*R115)/10</f>
        <v>57.476300000000002</v>
      </c>
      <c r="Y115" s="8">
        <f xml:space="preserve"> (-4.107+1.07*T115)/10</f>
        <v>20.70297072977727</v>
      </c>
      <c r="Z115" s="6">
        <v>45</v>
      </c>
      <c r="AA115" s="3" t="s">
        <v>36</v>
      </c>
      <c r="AB115" s="3" t="s">
        <v>35</v>
      </c>
      <c r="AC115" s="3" t="s">
        <v>524</v>
      </c>
      <c r="AD115" s="9">
        <v>45</v>
      </c>
      <c r="AE115" s="6" t="s">
        <v>525</v>
      </c>
      <c r="AF115" s="2" t="s">
        <v>509</v>
      </c>
      <c r="AG115" s="6">
        <v>5.4</v>
      </c>
      <c r="AH115" s="2" t="s">
        <v>638</v>
      </c>
      <c r="AI115" s="7" t="s">
        <v>504</v>
      </c>
    </row>
    <row r="116" spans="1:35" x14ac:dyDescent="0.3">
      <c r="A116" s="3" t="s">
        <v>143</v>
      </c>
      <c r="B116" s="4" t="s">
        <v>488</v>
      </c>
      <c r="C116" s="3" t="s">
        <v>497</v>
      </c>
      <c r="D116" s="5" t="s">
        <v>498</v>
      </c>
      <c r="E116" s="5" t="s">
        <v>526</v>
      </c>
      <c r="F116" s="3" t="str">
        <f t="shared" si="14"/>
        <v>Sebastes proriger</v>
      </c>
      <c r="G116" s="2" t="s">
        <v>712</v>
      </c>
      <c r="H116" s="6" t="s">
        <v>500</v>
      </c>
      <c r="I116" s="3">
        <v>0.09</v>
      </c>
      <c r="J116" s="3" t="s">
        <v>38</v>
      </c>
      <c r="K116" s="3" t="s">
        <v>33</v>
      </c>
      <c r="L116" s="3" t="s">
        <v>501</v>
      </c>
      <c r="M116" s="6">
        <v>36</v>
      </c>
      <c r="N116" s="2" t="s">
        <v>501</v>
      </c>
      <c r="O116" s="10">
        <v>7.3132233677810978</v>
      </c>
      <c r="P116" s="9" t="s">
        <v>34</v>
      </c>
      <c r="Q116" s="6">
        <v>0.14799999999999999</v>
      </c>
      <c r="R116" s="3">
        <v>413</v>
      </c>
      <c r="S116" s="3">
        <v>-1.02</v>
      </c>
      <c r="T116" s="3">
        <f t="shared" si="13"/>
        <v>57.868695485668823</v>
      </c>
      <c r="U116" s="3" t="s">
        <v>40</v>
      </c>
      <c r="V116" s="3" t="s">
        <v>50</v>
      </c>
      <c r="W116" s="3" t="s">
        <v>501</v>
      </c>
      <c r="X116" s="8">
        <f>1.025*R116/10</f>
        <v>42.332499999999996</v>
      </c>
      <c r="Y116" s="8">
        <f>1.025*T116/10</f>
        <v>5.9315412872810542</v>
      </c>
      <c r="Z116" s="6">
        <v>30</v>
      </c>
      <c r="AA116" s="3" t="s">
        <v>36</v>
      </c>
      <c r="AB116" s="3" t="s">
        <v>35</v>
      </c>
      <c r="AC116" s="3" t="s">
        <v>527</v>
      </c>
      <c r="AD116" s="9">
        <v>30</v>
      </c>
      <c r="AE116" s="6" t="s">
        <v>528</v>
      </c>
      <c r="AF116" s="2" t="s">
        <v>53</v>
      </c>
      <c r="AG116" s="6">
        <v>5.4</v>
      </c>
      <c r="AH116" s="2" t="s">
        <v>638</v>
      </c>
    </row>
    <row r="117" spans="1:35" x14ac:dyDescent="0.3">
      <c r="A117" s="3" t="s">
        <v>143</v>
      </c>
      <c r="B117" s="4" t="s">
        <v>488</v>
      </c>
      <c r="C117" s="3" t="s">
        <v>497</v>
      </c>
      <c r="D117" s="5" t="s">
        <v>498</v>
      </c>
      <c r="E117" s="5" t="s">
        <v>529</v>
      </c>
      <c r="F117" s="3" t="str">
        <f t="shared" si="14"/>
        <v>Sebastes reedi</v>
      </c>
      <c r="G117" s="2" t="s">
        <v>713</v>
      </c>
      <c r="H117" s="6" t="s">
        <v>500</v>
      </c>
      <c r="I117" s="3">
        <v>0.06</v>
      </c>
      <c r="J117" s="3" t="s">
        <v>38</v>
      </c>
      <c r="K117" s="3" t="s">
        <v>33</v>
      </c>
      <c r="L117" s="3" t="s">
        <v>501</v>
      </c>
      <c r="M117" s="6">
        <v>60</v>
      </c>
      <c r="N117" s="2" t="s">
        <v>501</v>
      </c>
      <c r="O117" s="10">
        <v>10.610288809229846</v>
      </c>
      <c r="P117" s="11" t="s">
        <v>34</v>
      </c>
      <c r="Q117" s="6">
        <v>0.124</v>
      </c>
      <c r="R117" s="3">
        <v>472</v>
      </c>
      <c r="S117" s="3">
        <v>-2.1800000000000002</v>
      </c>
      <c r="T117" s="3">
        <f t="shared" si="13"/>
        <v>111.80016106566335</v>
      </c>
      <c r="U117" s="3" t="s">
        <v>40</v>
      </c>
      <c r="V117" s="3" t="s">
        <v>50</v>
      </c>
      <c r="W117" s="3" t="s">
        <v>501</v>
      </c>
      <c r="X117" s="8">
        <f>1.039*R117/10</f>
        <v>49.040799999999997</v>
      </c>
      <c r="Y117" s="8">
        <f>1.039*T117/10</f>
        <v>11.616036734722421</v>
      </c>
      <c r="Z117" s="6">
        <v>39</v>
      </c>
      <c r="AA117" s="3" t="s">
        <v>36</v>
      </c>
      <c r="AB117" s="3" t="s">
        <v>35</v>
      </c>
      <c r="AC117" s="3" t="s">
        <v>527</v>
      </c>
      <c r="AD117" s="9">
        <v>39</v>
      </c>
      <c r="AE117" s="6" t="s">
        <v>346</v>
      </c>
      <c r="AF117" s="2" t="s">
        <v>53</v>
      </c>
      <c r="AG117" s="6">
        <v>5.4</v>
      </c>
      <c r="AH117" s="2" t="s">
        <v>638</v>
      </c>
    </row>
    <row r="118" spans="1:35" x14ac:dyDescent="0.3">
      <c r="A118" s="3" t="s">
        <v>143</v>
      </c>
      <c r="B118" s="4" t="s">
        <v>488</v>
      </c>
      <c r="C118" s="3" t="s">
        <v>497</v>
      </c>
      <c r="D118" s="5" t="s">
        <v>498</v>
      </c>
      <c r="E118" s="5" t="s">
        <v>529</v>
      </c>
      <c r="F118" s="3" t="str">
        <f t="shared" si="14"/>
        <v>Sebastes reedi</v>
      </c>
      <c r="G118" s="2" t="s">
        <v>713</v>
      </c>
      <c r="H118" s="6" t="s">
        <v>500</v>
      </c>
      <c r="I118" s="3">
        <v>0.09</v>
      </c>
      <c r="J118" s="3" t="s">
        <v>37</v>
      </c>
      <c r="K118" s="3" t="s">
        <v>33</v>
      </c>
      <c r="L118" s="3" t="s">
        <v>501</v>
      </c>
      <c r="M118" s="6">
        <v>72</v>
      </c>
      <c r="N118" s="2" t="s">
        <v>501</v>
      </c>
      <c r="O118" s="10">
        <v>11.130075705285055</v>
      </c>
      <c r="P118" s="11" t="s">
        <v>34</v>
      </c>
      <c r="Q118" s="6">
        <v>0.125</v>
      </c>
      <c r="R118" s="3">
        <v>456</v>
      </c>
      <c r="S118" s="3">
        <v>-2.73</v>
      </c>
      <c r="T118" s="3">
        <f t="shared" si="13"/>
        <v>131.83818844166757</v>
      </c>
      <c r="U118" s="3" t="s">
        <v>40</v>
      </c>
      <c r="V118" s="3" t="s">
        <v>50</v>
      </c>
      <c r="W118" s="3" t="s">
        <v>501</v>
      </c>
      <c r="X118" s="8">
        <f>1.039*R118/10</f>
        <v>47.378399999999999</v>
      </c>
      <c r="Y118" s="8">
        <f>1.039*T118/10</f>
        <v>13.69798777908926</v>
      </c>
      <c r="Z118" s="6">
        <v>38</v>
      </c>
      <c r="AA118" s="3" t="s">
        <v>36</v>
      </c>
      <c r="AB118" s="3" t="s">
        <v>35</v>
      </c>
      <c r="AC118" s="3" t="s">
        <v>527</v>
      </c>
      <c r="AD118" s="9">
        <v>39</v>
      </c>
      <c r="AE118" s="6" t="s">
        <v>346</v>
      </c>
      <c r="AF118" s="2" t="s">
        <v>53</v>
      </c>
      <c r="AG118" s="6">
        <v>5.4</v>
      </c>
      <c r="AH118" s="2" t="s">
        <v>638</v>
      </c>
    </row>
    <row r="119" spans="1:35" x14ac:dyDescent="0.3">
      <c r="A119" s="3" t="s">
        <v>143</v>
      </c>
      <c r="B119" s="4" t="s">
        <v>488</v>
      </c>
      <c r="C119" s="3" t="s">
        <v>497</v>
      </c>
      <c r="D119" s="5" t="s">
        <v>498</v>
      </c>
      <c r="E119" s="5" t="s">
        <v>530</v>
      </c>
      <c r="F119" s="3" t="str">
        <f t="shared" si="14"/>
        <v>Sebastes ruberrimus</v>
      </c>
      <c r="G119" s="2" t="s">
        <v>714</v>
      </c>
      <c r="H119" s="6" t="s">
        <v>531</v>
      </c>
      <c r="I119" s="3">
        <v>1.7399999999999999E-2</v>
      </c>
      <c r="J119" s="3" t="s">
        <v>32</v>
      </c>
      <c r="K119" s="3" t="s">
        <v>33</v>
      </c>
      <c r="L119" s="3" t="s">
        <v>532</v>
      </c>
      <c r="M119" s="6">
        <v>121</v>
      </c>
      <c r="N119" s="2" t="s">
        <v>532</v>
      </c>
      <c r="O119" s="10">
        <v>20.149999999999999</v>
      </c>
      <c r="P119" s="2" t="s">
        <v>532</v>
      </c>
      <c r="Q119" s="6">
        <v>3.6900000000000002E-2</v>
      </c>
      <c r="R119" s="3">
        <v>65.9619</v>
      </c>
      <c r="S119" s="3">
        <v>-13.0505</v>
      </c>
      <c r="T119" s="3">
        <f t="shared" si="13"/>
        <v>25.20953590468282</v>
      </c>
      <c r="U119" s="3" t="s">
        <v>35</v>
      </c>
      <c r="V119" s="3" t="s">
        <v>36</v>
      </c>
      <c r="W119" s="3" t="s">
        <v>532</v>
      </c>
      <c r="X119" s="8">
        <f>R119</f>
        <v>65.9619</v>
      </c>
      <c r="Y119" s="8">
        <f>T119</f>
        <v>25.20953590468282</v>
      </c>
      <c r="Z119" s="6">
        <f>AVERAGE(41.8, 43.1)</f>
        <v>42.45</v>
      </c>
      <c r="AA119" s="3" t="s">
        <v>36</v>
      </c>
      <c r="AB119" s="3" t="s">
        <v>35</v>
      </c>
      <c r="AC119" s="3" t="s">
        <v>532</v>
      </c>
      <c r="AD119" s="9">
        <v>42.45</v>
      </c>
      <c r="AE119" s="6" t="s">
        <v>533</v>
      </c>
      <c r="AF119" s="2" t="s">
        <v>509</v>
      </c>
      <c r="AG119" s="6">
        <v>5.4</v>
      </c>
      <c r="AH119" s="2" t="s">
        <v>638</v>
      </c>
    </row>
    <row r="120" spans="1:35" x14ac:dyDescent="0.3">
      <c r="A120" s="3" t="s">
        <v>143</v>
      </c>
      <c r="B120" s="4" t="s">
        <v>488</v>
      </c>
      <c r="C120" s="3" t="s">
        <v>497</v>
      </c>
      <c r="D120" s="5" t="s">
        <v>498</v>
      </c>
      <c r="E120" s="5" t="s">
        <v>534</v>
      </c>
      <c r="F120" s="3" t="str">
        <f t="shared" si="14"/>
        <v>Sebastes zacentrus</v>
      </c>
      <c r="G120" s="2" t="s">
        <v>715</v>
      </c>
      <c r="H120" s="6" t="s">
        <v>500</v>
      </c>
      <c r="I120" s="3">
        <v>0.05</v>
      </c>
      <c r="J120" s="3" t="s">
        <v>38</v>
      </c>
      <c r="K120" s="3" t="s">
        <v>33</v>
      </c>
      <c r="L120" s="3" t="s">
        <v>501</v>
      </c>
      <c r="M120" s="6">
        <v>46</v>
      </c>
      <c r="N120" s="2" t="s">
        <v>501</v>
      </c>
      <c r="O120" s="10">
        <v>9.8167550586001493</v>
      </c>
      <c r="P120" s="9" t="s">
        <v>34</v>
      </c>
      <c r="Q120" s="6">
        <v>0.13400000000000001</v>
      </c>
      <c r="R120" s="3">
        <v>361</v>
      </c>
      <c r="S120" s="3">
        <v>1.26</v>
      </c>
      <c r="T120" s="3">
        <f t="shared" si="13"/>
        <v>-66.39898084361927</v>
      </c>
      <c r="U120" s="3" t="s">
        <v>40</v>
      </c>
      <c r="V120" s="3" t="s">
        <v>50</v>
      </c>
      <c r="W120" s="3" t="s">
        <v>501</v>
      </c>
      <c r="X120" s="8">
        <f>1.015*R120/10</f>
        <v>36.641499999999994</v>
      </c>
      <c r="Y120" s="8">
        <f>1.015*T120/10</f>
        <v>-6.7394965556273547</v>
      </c>
      <c r="Z120" s="6">
        <v>25</v>
      </c>
      <c r="AA120" s="3" t="s">
        <v>36</v>
      </c>
      <c r="AB120" s="3" t="s">
        <v>35</v>
      </c>
      <c r="AC120" s="3" t="s">
        <v>527</v>
      </c>
      <c r="AD120" s="9">
        <v>25</v>
      </c>
      <c r="AE120" s="6" t="s">
        <v>535</v>
      </c>
      <c r="AF120" s="2" t="s">
        <v>53</v>
      </c>
      <c r="AG120" s="6">
        <v>5.4</v>
      </c>
      <c r="AH120" s="2" t="s">
        <v>638</v>
      </c>
    </row>
    <row r="121" spans="1:35" x14ac:dyDescent="0.3">
      <c r="A121" s="3" t="s">
        <v>143</v>
      </c>
      <c r="B121" s="4" t="s">
        <v>488</v>
      </c>
      <c r="C121" s="3" t="s">
        <v>497</v>
      </c>
      <c r="D121" s="5" t="s">
        <v>498</v>
      </c>
      <c r="E121" s="5" t="s">
        <v>534</v>
      </c>
      <c r="F121" s="3" t="str">
        <f t="shared" si="14"/>
        <v>Sebastes zacentrus</v>
      </c>
      <c r="G121" s="2" t="s">
        <v>715</v>
      </c>
      <c r="H121" s="6" t="s">
        <v>500</v>
      </c>
      <c r="I121" s="3">
        <v>0.05</v>
      </c>
      <c r="J121" s="3" t="s">
        <v>37</v>
      </c>
      <c r="K121" s="3" t="s">
        <v>33</v>
      </c>
      <c r="L121" s="3" t="s">
        <v>501</v>
      </c>
      <c r="M121" s="6">
        <v>43</v>
      </c>
      <c r="N121" s="2" t="s">
        <v>501</v>
      </c>
      <c r="O121" s="10">
        <v>9.7420703961044843</v>
      </c>
      <c r="P121" s="9" t="s">
        <v>34</v>
      </c>
      <c r="Q121" s="6">
        <v>0.1</v>
      </c>
      <c r="R121" s="3">
        <v>304</v>
      </c>
      <c r="S121" s="3">
        <v>-5.3</v>
      </c>
      <c r="T121" s="3">
        <f t="shared" si="13"/>
        <v>125.06408921778002</v>
      </c>
      <c r="U121" s="3" t="s">
        <v>40</v>
      </c>
      <c r="V121" s="3" t="s">
        <v>50</v>
      </c>
      <c r="W121" s="3" t="s">
        <v>501</v>
      </c>
      <c r="X121" s="8">
        <f>1.015*R121/10</f>
        <v>30.855999999999995</v>
      </c>
      <c r="Y121" s="8">
        <f>1.015*T121/10</f>
        <v>12.694005055604672</v>
      </c>
      <c r="Z121" s="6">
        <v>24</v>
      </c>
      <c r="AA121" s="3" t="s">
        <v>36</v>
      </c>
      <c r="AB121" s="3" t="s">
        <v>35</v>
      </c>
      <c r="AC121" s="3" t="s">
        <v>527</v>
      </c>
      <c r="AD121" s="9">
        <v>24</v>
      </c>
      <c r="AE121" s="6" t="s">
        <v>535</v>
      </c>
      <c r="AF121" s="2" t="s">
        <v>53</v>
      </c>
      <c r="AG121" s="6">
        <v>5.4</v>
      </c>
      <c r="AH121" s="2" t="s">
        <v>638</v>
      </c>
    </row>
    <row r="122" spans="1:35" x14ac:dyDescent="0.3">
      <c r="A122" s="3" t="s">
        <v>143</v>
      </c>
      <c r="B122" s="4" t="s">
        <v>536</v>
      </c>
      <c r="C122" s="3" t="s">
        <v>537</v>
      </c>
      <c r="D122" s="5" t="s">
        <v>538</v>
      </c>
      <c r="E122" s="5" t="s">
        <v>539</v>
      </c>
      <c r="F122" s="3" t="str">
        <f t="shared" si="14"/>
        <v>Allocyttus niger</v>
      </c>
      <c r="G122" s="2" t="s">
        <v>716</v>
      </c>
      <c r="H122" s="6" t="s">
        <v>540</v>
      </c>
      <c r="I122" s="3">
        <v>4.3999999999999997E-2</v>
      </c>
      <c r="J122" s="3" t="s">
        <v>32</v>
      </c>
      <c r="K122" s="3" t="s">
        <v>541</v>
      </c>
      <c r="L122" s="3" t="s">
        <v>542</v>
      </c>
      <c r="M122" s="6">
        <f>AVERAGE(142, 121)</f>
        <v>131.5</v>
      </c>
      <c r="N122" s="2" t="s">
        <v>542</v>
      </c>
      <c r="O122" s="10">
        <v>27</v>
      </c>
      <c r="P122" s="2" t="s">
        <v>542</v>
      </c>
      <c r="Q122" s="6">
        <f>AVERAGE(0.043, 0.056)</f>
        <v>4.9500000000000002E-2</v>
      </c>
      <c r="R122" s="3">
        <f>AVERAGE(39.9, 37.2)</f>
        <v>38.549999999999997</v>
      </c>
      <c r="S122" s="3">
        <f>AVERAGE(17.6, 16.4)*-1</f>
        <v>-17</v>
      </c>
      <c r="T122" s="3">
        <f t="shared" si="13"/>
        <v>21.932504269438365</v>
      </c>
      <c r="U122" s="3" t="s">
        <v>35</v>
      </c>
      <c r="V122" s="3" t="s">
        <v>36</v>
      </c>
      <c r="W122" s="3" t="s">
        <v>542</v>
      </c>
      <c r="X122" s="8">
        <f>R122</f>
        <v>38.549999999999997</v>
      </c>
      <c r="Y122" s="8">
        <f>T122</f>
        <v>21.932504269438365</v>
      </c>
      <c r="Z122" s="6">
        <v>34</v>
      </c>
      <c r="AA122" s="3" t="s">
        <v>36</v>
      </c>
      <c r="AB122" s="3" t="s">
        <v>35</v>
      </c>
      <c r="AC122" s="15" t="s">
        <v>542</v>
      </c>
      <c r="AD122" s="2">
        <v>34</v>
      </c>
      <c r="AE122" s="6" t="s">
        <v>34</v>
      </c>
      <c r="AF122" s="2" t="s">
        <v>34</v>
      </c>
      <c r="AG122" s="6">
        <v>11</v>
      </c>
      <c r="AH122" s="2" t="s">
        <v>638</v>
      </c>
      <c r="AI122" s="7" t="s">
        <v>515</v>
      </c>
    </row>
  </sheetData>
  <autoFilter ref="A2:AI122" xr:uid="{00000000-0009-0000-0000-000001000000}"/>
  <sortState xmlns:xlrd2="http://schemas.microsoft.com/office/spreadsheetml/2017/richdata2" ref="A3:AI127">
    <sortCondition ref="A3:A127"/>
    <sortCondition ref="B3:B127"/>
    <sortCondition ref="C3:C127"/>
    <sortCondition ref="D3:D127"/>
    <sortCondition ref="E3:E127"/>
    <sortCondition ref="J3:J127"/>
    <sortCondition ref="H3:H127"/>
  </sortState>
  <mergeCells count="8">
    <mergeCell ref="AE1:AF1"/>
    <mergeCell ref="AG1:AH1"/>
    <mergeCell ref="A1:G1"/>
    <mergeCell ref="M1:N1"/>
    <mergeCell ref="O1:P1"/>
    <mergeCell ref="Q1:Y1"/>
    <mergeCell ref="Z1:AD1"/>
    <mergeCell ref="H1:L1"/>
  </mergeCell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78"/>
  <sheetViews>
    <sheetView workbookViewId="0">
      <selection activeCell="A48" sqref="A48"/>
    </sheetView>
  </sheetViews>
  <sheetFormatPr baseColWidth="10" defaultColWidth="8.77734375" defaultRowHeight="14.4" x14ac:dyDescent="0.3"/>
  <cols>
    <col min="1" max="1" width="255.6640625" bestFit="1" customWidth="1"/>
  </cols>
  <sheetData>
    <row r="1" spans="1:1" x14ac:dyDescent="0.3">
      <c r="A1" t="s">
        <v>725</v>
      </c>
    </row>
    <row r="2" spans="1:1" x14ac:dyDescent="0.3">
      <c r="A2" t="s">
        <v>726</v>
      </c>
    </row>
    <row r="3" spans="1:1" x14ac:dyDescent="0.3">
      <c r="A3" t="s">
        <v>727</v>
      </c>
    </row>
    <row r="4" spans="1:1" x14ac:dyDescent="0.3">
      <c r="A4" t="s">
        <v>550</v>
      </c>
    </row>
    <row r="5" spans="1:1" x14ac:dyDescent="0.3">
      <c r="A5" t="s">
        <v>728</v>
      </c>
    </row>
    <row r="6" spans="1:1" x14ac:dyDescent="0.3">
      <c r="A6" t="s">
        <v>729</v>
      </c>
    </row>
    <row r="7" spans="1:1" x14ac:dyDescent="0.3">
      <c r="A7" t="s">
        <v>730</v>
      </c>
    </row>
    <row r="8" spans="1:1" x14ac:dyDescent="0.3">
      <c r="A8" t="s">
        <v>551</v>
      </c>
    </row>
    <row r="9" spans="1:1" x14ac:dyDescent="0.3">
      <c r="A9" t="s">
        <v>731</v>
      </c>
    </row>
    <row r="10" spans="1:1" x14ac:dyDescent="0.3">
      <c r="A10" t="s">
        <v>732</v>
      </c>
    </row>
    <row r="11" spans="1:1" x14ac:dyDescent="0.3">
      <c r="A11" t="s">
        <v>780</v>
      </c>
    </row>
    <row r="12" spans="1:1" x14ac:dyDescent="0.3">
      <c r="A12" t="s">
        <v>733</v>
      </c>
    </row>
    <row r="13" spans="1:1" x14ac:dyDescent="0.3">
      <c r="A13" t="s">
        <v>734</v>
      </c>
    </row>
    <row r="14" spans="1:1" x14ac:dyDescent="0.3">
      <c r="A14" t="s">
        <v>552</v>
      </c>
    </row>
    <row r="15" spans="1:1" x14ac:dyDescent="0.3">
      <c r="A15" t="s">
        <v>553</v>
      </c>
    </row>
    <row r="16" spans="1:1" x14ac:dyDescent="0.3">
      <c r="A16" t="s">
        <v>735</v>
      </c>
    </row>
    <row r="17" spans="1:1" x14ac:dyDescent="0.3">
      <c r="A17" t="s">
        <v>736</v>
      </c>
    </row>
    <row r="18" spans="1:1" x14ac:dyDescent="0.3">
      <c r="A18" t="s">
        <v>554</v>
      </c>
    </row>
    <row r="19" spans="1:1" x14ac:dyDescent="0.3">
      <c r="A19" t="s">
        <v>833</v>
      </c>
    </row>
    <row r="20" spans="1:1" x14ac:dyDescent="0.3">
      <c r="A20" t="s">
        <v>738</v>
      </c>
    </row>
    <row r="21" spans="1:1" x14ac:dyDescent="0.3">
      <c r="A21" t="s">
        <v>555</v>
      </c>
    </row>
    <row r="22" spans="1:1" x14ac:dyDescent="0.3">
      <c r="A22" t="s">
        <v>737</v>
      </c>
    </row>
    <row r="23" spans="1:1" x14ac:dyDescent="0.3">
      <c r="A23" t="s">
        <v>556</v>
      </c>
    </row>
    <row r="24" spans="1:1" x14ac:dyDescent="0.3">
      <c r="A24" t="s">
        <v>557</v>
      </c>
    </row>
    <row r="25" spans="1:1" x14ac:dyDescent="0.3">
      <c r="A25" t="s">
        <v>862</v>
      </c>
    </row>
    <row r="26" spans="1:1" x14ac:dyDescent="0.3">
      <c r="A26" t="s">
        <v>739</v>
      </c>
    </row>
    <row r="27" spans="1:1" x14ac:dyDescent="0.3">
      <c r="A27" t="s">
        <v>740</v>
      </c>
    </row>
    <row r="28" spans="1:1" x14ac:dyDescent="0.3">
      <c r="A28" t="s">
        <v>558</v>
      </c>
    </row>
    <row r="29" spans="1:1" x14ac:dyDescent="0.3">
      <c r="A29" t="s">
        <v>559</v>
      </c>
    </row>
    <row r="30" spans="1:1" x14ac:dyDescent="0.3">
      <c r="A30" t="s">
        <v>741</v>
      </c>
    </row>
    <row r="31" spans="1:1" x14ac:dyDescent="0.3">
      <c r="A31" t="s">
        <v>560</v>
      </c>
    </row>
    <row r="32" spans="1:1" x14ac:dyDescent="0.3">
      <c r="A32" t="s">
        <v>742</v>
      </c>
    </row>
    <row r="33" spans="1:1" x14ac:dyDescent="0.3">
      <c r="A33" t="s">
        <v>743</v>
      </c>
    </row>
    <row r="34" spans="1:1" x14ac:dyDescent="0.3">
      <c r="A34" t="s">
        <v>744</v>
      </c>
    </row>
    <row r="35" spans="1:1" x14ac:dyDescent="0.3">
      <c r="A35" t="s">
        <v>561</v>
      </c>
    </row>
    <row r="36" spans="1:1" x14ac:dyDescent="0.3">
      <c r="A36" t="s">
        <v>745</v>
      </c>
    </row>
    <row r="37" spans="1:1" x14ac:dyDescent="0.3">
      <c r="A37" t="s">
        <v>562</v>
      </c>
    </row>
    <row r="38" spans="1:1" x14ac:dyDescent="0.3">
      <c r="A38" t="s">
        <v>563</v>
      </c>
    </row>
    <row r="39" spans="1:1" x14ac:dyDescent="0.3">
      <c r="A39" t="s">
        <v>746</v>
      </c>
    </row>
    <row r="40" spans="1:1" x14ac:dyDescent="0.3">
      <c r="A40" t="s">
        <v>747</v>
      </c>
    </row>
    <row r="41" spans="1:1" x14ac:dyDescent="0.3">
      <c r="A41" t="s">
        <v>748</v>
      </c>
    </row>
    <row r="42" spans="1:1" x14ac:dyDescent="0.3">
      <c r="A42" t="s">
        <v>749</v>
      </c>
    </row>
    <row r="43" spans="1:1" x14ac:dyDescent="0.3">
      <c r="A43" t="s">
        <v>750</v>
      </c>
    </row>
    <row r="44" spans="1:1" x14ac:dyDescent="0.3">
      <c r="A44" t="s">
        <v>564</v>
      </c>
    </row>
    <row r="45" spans="1:1" x14ac:dyDescent="0.3">
      <c r="A45" t="s">
        <v>751</v>
      </c>
    </row>
    <row r="46" spans="1:1" x14ac:dyDescent="0.3">
      <c r="A46" t="s">
        <v>752</v>
      </c>
    </row>
    <row r="47" spans="1:1" x14ac:dyDescent="0.3">
      <c r="A47" t="s">
        <v>868</v>
      </c>
    </row>
    <row r="48" spans="1:1" x14ac:dyDescent="0.3">
      <c r="A48" t="s">
        <v>565</v>
      </c>
    </row>
    <row r="49" spans="1:1" x14ac:dyDescent="0.3">
      <c r="A49" t="s">
        <v>566</v>
      </c>
    </row>
    <row r="50" spans="1:1" x14ac:dyDescent="0.3">
      <c r="A50" t="s">
        <v>567</v>
      </c>
    </row>
    <row r="51" spans="1:1" x14ac:dyDescent="0.3">
      <c r="A51" t="s">
        <v>568</v>
      </c>
    </row>
    <row r="52" spans="1:1" x14ac:dyDescent="0.3">
      <c r="A52" t="s">
        <v>753</v>
      </c>
    </row>
    <row r="53" spans="1:1" x14ac:dyDescent="0.3">
      <c r="A53" t="s">
        <v>754</v>
      </c>
    </row>
    <row r="54" spans="1:1" x14ac:dyDescent="0.3">
      <c r="A54" t="s">
        <v>755</v>
      </c>
    </row>
    <row r="55" spans="1:1" x14ac:dyDescent="0.3">
      <c r="A55" t="s">
        <v>569</v>
      </c>
    </row>
    <row r="56" spans="1:1" x14ac:dyDescent="0.3">
      <c r="A56" t="s">
        <v>570</v>
      </c>
    </row>
    <row r="57" spans="1:1" x14ac:dyDescent="0.3">
      <c r="A57" t="s">
        <v>571</v>
      </c>
    </row>
    <row r="58" spans="1:1" x14ac:dyDescent="0.3">
      <c r="A58" t="s">
        <v>572</v>
      </c>
    </row>
    <row r="59" spans="1:1" x14ac:dyDescent="0.3">
      <c r="A59" t="s">
        <v>756</v>
      </c>
    </row>
    <row r="60" spans="1:1" x14ac:dyDescent="0.3">
      <c r="A60" t="s">
        <v>757</v>
      </c>
    </row>
    <row r="61" spans="1:1" x14ac:dyDescent="0.3">
      <c r="A61" t="s">
        <v>758</v>
      </c>
    </row>
    <row r="62" spans="1:1" x14ac:dyDescent="0.3">
      <c r="A62" t="s">
        <v>759</v>
      </c>
    </row>
    <row r="63" spans="1:1" x14ac:dyDescent="0.3">
      <c r="A63" t="s">
        <v>573</v>
      </c>
    </row>
    <row r="64" spans="1:1" x14ac:dyDescent="0.3">
      <c r="A64" t="s">
        <v>760</v>
      </c>
    </row>
    <row r="65" spans="1:1" x14ac:dyDescent="0.3">
      <c r="A65" t="s">
        <v>763</v>
      </c>
    </row>
    <row r="66" spans="1:1" x14ac:dyDescent="0.3">
      <c r="A66" t="s">
        <v>761</v>
      </c>
    </row>
    <row r="67" spans="1:1" x14ac:dyDescent="0.3">
      <c r="A67" t="s">
        <v>762</v>
      </c>
    </row>
    <row r="68" spans="1:1" x14ac:dyDescent="0.3">
      <c r="A68" t="s">
        <v>764</v>
      </c>
    </row>
    <row r="69" spans="1:1" x14ac:dyDescent="0.3">
      <c r="A69" t="s">
        <v>765</v>
      </c>
    </row>
    <row r="70" spans="1:1" x14ac:dyDescent="0.3">
      <c r="A70" t="s">
        <v>574</v>
      </c>
    </row>
    <row r="71" spans="1:1" x14ac:dyDescent="0.3">
      <c r="A71" t="s">
        <v>766</v>
      </c>
    </row>
    <row r="72" spans="1:1" x14ac:dyDescent="0.3">
      <c r="A72" t="s">
        <v>767</v>
      </c>
    </row>
    <row r="73" spans="1:1" x14ac:dyDescent="0.3">
      <c r="A73" t="s">
        <v>768</v>
      </c>
    </row>
    <row r="74" spans="1:1" x14ac:dyDescent="0.3">
      <c r="A74" t="s">
        <v>575</v>
      </c>
    </row>
    <row r="75" spans="1:1" x14ac:dyDescent="0.3">
      <c r="A75" t="s">
        <v>769</v>
      </c>
    </row>
    <row r="76" spans="1:1" x14ac:dyDescent="0.3">
      <c r="A76" t="s">
        <v>770</v>
      </c>
    </row>
    <row r="77" spans="1:1" x14ac:dyDescent="0.3">
      <c r="A77" t="s">
        <v>576</v>
      </c>
    </row>
    <row r="78" spans="1:1" x14ac:dyDescent="0.3">
      <c r="A78" t="s">
        <v>577</v>
      </c>
    </row>
    <row r="79" spans="1:1" x14ac:dyDescent="0.3">
      <c r="A79" t="s">
        <v>771</v>
      </c>
    </row>
    <row r="80" spans="1:1" x14ac:dyDescent="0.3">
      <c r="A80" t="s">
        <v>578</v>
      </c>
    </row>
    <row r="81" spans="1:1" x14ac:dyDescent="0.3">
      <c r="A81" t="s">
        <v>772</v>
      </c>
    </row>
    <row r="82" spans="1:1" x14ac:dyDescent="0.3">
      <c r="A82" t="s">
        <v>579</v>
      </c>
    </row>
    <row r="83" spans="1:1" x14ac:dyDescent="0.3">
      <c r="A83" t="s">
        <v>773</v>
      </c>
    </row>
    <row r="84" spans="1:1" x14ac:dyDescent="0.3">
      <c r="A84" t="s">
        <v>774</v>
      </c>
    </row>
    <row r="85" spans="1:1" x14ac:dyDescent="0.3">
      <c r="A85" t="s">
        <v>775</v>
      </c>
    </row>
    <row r="86" spans="1:1" x14ac:dyDescent="0.3">
      <c r="A86" t="s">
        <v>580</v>
      </c>
    </row>
    <row r="87" spans="1:1" x14ac:dyDescent="0.3">
      <c r="A87" t="s">
        <v>776</v>
      </c>
    </row>
    <row r="88" spans="1:1" x14ac:dyDescent="0.3">
      <c r="A88" t="s">
        <v>581</v>
      </c>
    </row>
    <row r="89" spans="1:1" x14ac:dyDescent="0.3">
      <c r="A89" t="s">
        <v>777</v>
      </c>
    </row>
    <row r="90" spans="1:1" x14ac:dyDescent="0.3">
      <c r="A90" t="s">
        <v>778</v>
      </c>
    </row>
    <row r="91" spans="1:1" x14ac:dyDescent="0.3">
      <c r="A91" t="s">
        <v>779</v>
      </c>
    </row>
    <row r="92" spans="1:1" x14ac:dyDescent="0.3">
      <c r="A92" t="s">
        <v>852</v>
      </c>
    </row>
    <row r="93" spans="1:1" x14ac:dyDescent="0.3">
      <c r="A93" t="s">
        <v>782</v>
      </c>
    </row>
    <row r="94" spans="1:1" x14ac:dyDescent="0.3">
      <c r="A94" t="s">
        <v>781</v>
      </c>
    </row>
    <row r="95" spans="1:1" x14ac:dyDescent="0.3">
      <c r="A95" t="s">
        <v>582</v>
      </c>
    </row>
    <row r="96" spans="1:1" x14ac:dyDescent="0.3">
      <c r="A96" t="s">
        <v>783</v>
      </c>
    </row>
    <row r="97" spans="1:1" x14ac:dyDescent="0.3">
      <c r="A97" t="s">
        <v>784</v>
      </c>
    </row>
    <row r="98" spans="1:1" x14ac:dyDescent="0.3">
      <c r="A98" t="s">
        <v>785</v>
      </c>
    </row>
    <row r="99" spans="1:1" x14ac:dyDescent="0.3">
      <c r="A99" t="s">
        <v>583</v>
      </c>
    </row>
    <row r="100" spans="1:1" x14ac:dyDescent="0.3">
      <c r="A100" t="s">
        <v>584</v>
      </c>
    </row>
    <row r="101" spans="1:1" x14ac:dyDescent="0.3">
      <c r="A101" t="s">
        <v>585</v>
      </c>
    </row>
    <row r="102" spans="1:1" x14ac:dyDescent="0.3">
      <c r="A102" t="s">
        <v>586</v>
      </c>
    </row>
    <row r="103" spans="1:1" x14ac:dyDescent="0.3">
      <c r="A103" t="s">
        <v>786</v>
      </c>
    </row>
    <row r="104" spans="1:1" x14ac:dyDescent="0.3">
      <c r="A104" t="s">
        <v>787</v>
      </c>
    </row>
    <row r="105" spans="1:1" x14ac:dyDescent="0.3">
      <c r="A105" t="s">
        <v>859</v>
      </c>
    </row>
    <row r="106" spans="1:1" x14ac:dyDescent="0.3">
      <c r="A106" t="s">
        <v>860</v>
      </c>
    </row>
    <row r="107" spans="1:1" x14ac:dyDescent="0.3">
      <c r="A107" t="s">
        <v>788</v>
      </c>
    </row>
    <row r="108" spans="1:1" x14ac:dyDescent="0.3">
      <c r="A108" t="s">
        <v>789</v>
      </c>
    </row>
    <row r="109" spans="1:1" x14ac:dyDescent="0.3">
      <c r="A109" t="s">
        <v>790</v>
      </c>
    </row>
    <row r="110" spans="1:1" x14ac:dyDescent="0.3">
      <c r="A110" t="s">
        <v>587</v>
      </c>
    </row>
    <row r="111" spans="1:1" x14ac:dyDescent="0.3">
      <c r="A111" t="s">
        <v>791</v>
      </c>
    </row>
    <row r="112" spans="1:1" x14ac:dyDescent="0.3">
      <c r="A112" t="s">
        <v>792</v>
      </c>
    </row>
    <row r="113" spans="1:1" x14ac:dyDescent="0.3">
      <c r="A113" t="s">
        <v>793</v>
      </c>
    </row>
    <row r="114" spans="1:1" x14ac:dyDescent="0.3">
      <c r="A114" t="s">
        <v>588</v>
      </c>
    </row>
    <row r="115" spans="1:1" x14ac:dyDescent="0.3">
      <c r="A115" t="s">
        <v>794</v>
      </c>
    </row>
    <row r="116" spans="1:1" x14ac:dyDescent="0.3">
      <c r="A116" t="s">
        <v>795</v>
      </c>
    </row>
    <row r="117" spans="1:1" x14ac:dyDescent="0.3">
      <c r="A117" t="s">
        <v>796</v>
      </c>
    </row>
    <row r="118" spans="1:1" x14ac:dyDescent="0.3">
      <c r="A118" t="s">
        <v>797</v>
      </c>
    </row>
    <row r="119" spans="1:1" x14ac:dyDescent="0.3">
      <c r="A119" t="s">
        <v>798</v>
      </c>
    </row>
    <row r="120" spans="1:1" x14ac:dyDescent="0.3">
      <c r="A120" t="s">
        <v>800</v>
      </c>
    </row>
    <row r="121" spans="1:1" x14ac:dyDescent="0.3">
      <c r="A121" t="s">
        <v>801</v>
      </c>
    </row>
    <row r="122" spans="1:1" x14ac:dyDescent="0.3">
      <c r="A122" t="s">
        <v>799</v>
      </c>
    </row>
    <row r="123" spans="1:1" x14ac:dyDescent="0.3">
      <c r="A123" t="s">
        <v>802</v>
      </c>
    </row>
    <row r="124" spans="1:1" x14ac:dyDescent="0.3">
      <c r="A124" t="s">
        <v>803</v>
      </c>
    </row>
    <row r="125" spans="1:1" x14ac:dyDescent="0.3">
      <c r="A125" t="s">
        <v>853</v>
      </c>
    </row>
    <row r="126" spans="1:1" x14ac:dyDescent="0.3">
      <c r="A126" t="s">
        <v>804</v>
      </c>
    </row>
    <row r="127" spans="1:1" x14ac:dyDescent="0.3">
      <c r="A127" t="s">
        <v>805</v>
      </c>
    </row>
    <row r="128" spans="1:1" x14ac:dyDescent="0.3">
      <c r="A128" t="s">
        <v>806</v>
      </c>
    </row>
    <row r="129" spans="1:1" x14ac:dyDescent="0.3">
      <c r="A129" t="s">
        <v>858</v>
      </c>
    </row>
    <row r="130" spans="1:1" x14ac:dyDescent="0.3">
      <c r="A130" t="s">
        <v>807</v>
      </c>
    </row>
    <row r="131" spans="1:1" x14ac:dyDescent="0.3">
      <c r="A131" t="s">
        <v>589</v>
      </c>
    </row>
    <row r="132" spans="1:1" x14ac:dyDescent="0.3">
      <c r="A132" t="s">
        <v>590</v>
      </c>
    </row>
    <row r="133" spans="1:1" x14ac:dyDescent="0.3">
      <c r="A133" t="s">
        <v>808</v>
      </c>
    </row>
    <row r="134" spans="1:1" x14ac:dyDescent="0.3">
      <c r="A134" t="s">
        <v>809</v>
      </c>
    </row>
    <row r="135" spans="1:1" x14ac:dyDescent="0.3">
      <c r="A135" t="s">
        <v>810</v>
      </c>
    </row>
    <row r="136" spans="1:1" x14ac:dyDescent="0.3">
      <c r="A136" t="s">
        <v>591</v>
      </c>
    </row>
    <row r="137" spans="1:1" x14ac:dyDescent="0.3">
      <c r="A137" t="s">
        <v>592</v>
      </c>
    </row>
    <row r="138" spans="1:1" x14ac:dyDescent="0.3">
      <c r="A138" t="s">
        <v>811</v>
      </c>
    </row>
    <row r="139" spans="1:1" x14ac:dyDescent="0.3">
      <c r="A139" t="s">
        <v>812</v>
      </c>
    </row>
    <row r="140" spans="1:1" x14ac:dyDescent="0.3">
      <c r="A140" t="s">
        <v>834</v>
      </c>
    </row>
    <row r="141" spans="1:1" x14ac:dyDescent="0.3">
      <c r="A141" t="s">
        <v>835</v>
      </c>
    </row>
    <row r="142" spans="1:1" x14ac:dyDescent="0.3">
      <c r="A142" t="s">
        <v>608</v>
      </c>
    </row>
    <row r="143" spans="1:1" x14ac:dyDescent="0.3">
      <c r="A143" t="s">
        <v>813</v>
      </c>
    </row>
    <row r="144" spans="1:1" x14ac:dyDescent="0.3">
      <c r="A144" t="s">
        <v>814</v>
      </c>
    </row>
    <row r="145" spans="1:1" x14ac:dyDescent="0.3">
      <c r="A145" t="s">
        <v>593</v>
      </c>
    </row>
    <row r="146" spans="1:1" x14ac:dyDescent="0.3">
      <c r="A146" t="s">
        <v>815</v>
      </c>
    </row>
    <row r="147" spans="1:1" x14ac:dyDescent="0.3">
      <c r="A147" t="s">
        <v>816</v>
      </c>
    </row>
    <row r="148" spans="1:1" x14ac:dyDescent="0.3">
      <c r="A148" t="s">
        <v>817</v>
      </c>
    </row>
    <row r="149" spans="1:1" x14ac:dyDescent="0.3">
      <c r="A149" t="s">
        <v>818</v>
      </c>
    </row>
    <row r="150" spans="1:1" x14ac:dyDescent="0.3">
      <c r="A150" t="s">
        <v>819</v>
      </c>
    </row>
    <row r="151" spans="1:1" x14ac:dyDescent="0.3">
      <c r="A151" t="s">
        <v>594</v>
      </c>
    </row>
    <row r="152" spans="1:1" x14ac:dyDescent="0.3">
      <c r="A152" t="s">
        <v>595</v>
      </c>
    </row>
    <row r="153" spans="1:1" x14ac:dyDescent="0.3">
      <c r="A153" t="s">
        <v>596</v>
      </c>
    </row>
    <row r="154" spans="1:1" x14ac:dyDescent="0.3">
      <c r="A154" t="s">
        <v>820</v>
      </c>
    </row>
    <row r="155" spans="1:1" x14ac:dyDescent="0.3">
      <c r="A155" t="s">
        <v>821</v>
      </c>
    </row>
    <row r="156" spans="1:1" x14ac:dyDescent="0.3">
      <c r="A156" t="s">
        <v>597</v>
      </c>
    </row>
    <row r="157" spans="1:1" x14ac:dyDescent="0.3">
      <c r="A157" t="s">
        <v>822</v>
      </c>
    </row>
    <row r="158" spans="1:1" x14ac:dyDescent="0.3">
      <c r="A158" t="s">
        <v>836</v>
      </c>
    </row>
    <row r="159" spans="1:1" x14ac:dyDescent="0.3">
      <c r="A159" t="s">
        <v>823</v>
      </c>
    </row>
    <row r="160" spans="1:1" x14ac:dyDescent="0.3">
      <c r="A160" t="s">
        <v>598</v>
      </c>
    </row>
    <row r="161" spans="1:1" x14ac:dyDescent="0.3">
      <c r="A161" t="s">
        <v>599</v>
      </c>
    </row>
    <row r="162" spans="1:1" x14ac:dyDescent="0.3">
      <c r="A162" t="s">
        <v>600</v>
      </c>
    </row>
    <row r="163" spans="1:1" x14ac:dyDescent="0.3">
      <c r="A163" t="s">
        <v>601</v>
      </c>
    </row>
    <row r="164" spans="1:1" x14ac:dyDescent="0.3">
      <c r="A164" t="s">
        <v>602</v>
      </c>
    </row>
    <row r="165" spans="1:1" x14ac:dyDescent="0.3">
      <c r="A165" t="s">
        <v>824</v>
      </c>
    </row>
    <row r="166" spans="1:1" x14ac:dyDescent="0.3">
      <c r="A166" t="s">
        <v>825</v>
      </c>
    </row>
    <row r="167" spans="1:1" x14ac:dyDescent="0.3">
      <c r="A167" t="s">
        <v>826</v>
      </c>
    </row>
    <row r="168" spans="1:1" x14ac:dyDescent="0.3">
      <c r="A168" t="s">
        <v>603</v>
      </c>
    </row>
    <row r="169" spans="1:1" x14ac:dyDescent="0.3">
      <c r="A169" t="s">
        <v>827</v>
      </c>
    </row>
    <row r="170" spans="1:1" x14ac:dyDescent="0.3">
      <c r="A170" t="s">
        <v>828</v>
      </c>
    </row>
    <row r="171" spans="1:1" x14ac:dyDescent="0.3">
      <c r="A171" t="s">
        <v>604</v>
      </c>
    </row>
    <row r="172" spans="1:1" x14ac:dyDescent="0.3">
      <c r="A172" t="s">
        <v>829</v>
      </c>
    </row>
    <row r="173" spans="1:1" x14ac:dyDescent="0.3">
      <c r="A173" t="s">
        <v>605</v>
      </c>
    </row>
    <row r="174" spans="1:1" x14ac:dyDescent="0.3">
      <c r="A174" t="s">
        <v>830</v>
      </c>
    </row>
    <row r="175" spans="1:1" x14ac:dyDescent="0.3">
      <c r="A175" t="s">
        <v>606</v>
      </c>
    </row>
    <row r="176" spans="1:1" x14ac:dyDescent="0.3">
      <c r="A176" t="s">
        <v>831</v>
      </c>
    </row>
    <row r="177" spans="1:1" x14ac:dyDescent="0.3">
      <c r="A177" t="s">
        <v>832</v>
      </c>
    </row>
    <row r="178" spans="1:1" x14ac:dyDescent="0.3">
      <c r="A178" t="s">
        <v>607</v>
      </c>
    </row>
  </sheetData>
  <sortState xmlns:xlrd2="http://schemas.microsoft.com/office/spreadsheetml/2017/richdata2" ref="A1:A178">
    <sortCondition ref="A1"/>
  </sortState>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S21"/>
  <sheetViews>
    <sheetView workbookViewId="0">
      <selection sqref="A1:XFD1048576"/>
    </sheetView>
  </sheetViews>
  <sheetFormatPr baseColWidth="10" defaultColWidth="8.6640625" defaultRowHeight="14.4" x14ac:dyDescent="0.3"/>
  <cols>
    <col min="1" max="1" width="8.6640625" style="27"/>
    <col min="2" max="2" width="16.33203125" style="27" bestFit="1" customWidth="1"/>
    <col min="3" max="3" width="13.44140625" style="27" bestFit="1" customWidth="1"/>
    <col min="4" max="5" width="8.6640625" style="27"/>
    <col min="6" max="6" width="19.44140625" style="27" bestFit="1" customWidth="1"/>
    <col min="7" max="7" width="23.33203125" style="27" bestFit="1" customWidth="1"/>
    <col min="8" max="8" width="58" style="27" bestFit="1" customWidth="1"/>
    <col min="9" max="9" width="5.6640625" style="39" bestFit="1" customWidth="1"/>
    <col min="10" max="10" width="7.44140625" style="27" bestFit="1" customWidth="1"/>
    <col min="11" max="11" width="7.77734375" style="27" bestFit="1" customWidth="1"/>
    <col min="12" max="12" width="10" style="40" bestFit="1" customWidth="1"/>
    <col min="13" max="13" width="10.33203125" style="40" bestFit="1" customWidth="1"/>
    <col min="14" max="14" width="11.44140625" style="40" bestFit="1" customWidth="1"/>
    <col min="15" max="15" width="11.6640625" style="27" customWidth="1"/>
    <col min="16" max="16" width="7.6640625" style="40" bestFit="1" customWidth="1"/>
    <col min="17" max="17" width="13.44140625" style="40" bestFit="1" customWidth="1"/>
    <col min="18" max="18" width="3.6640625" style="27" bestFit="1" customWidth="1"/>
    <col min="19" max="19" width="20.44140625" style="27" bestFit="1" customWidth="1"/>
    <col min="20" max="20" width="26.33203125" style="27" bestFit="1" customWidth="1"/>
    <col min="21" max="21" width="5.6640625" style="40" customWidth="1"/>
    <col min="22" max="22" width="36.109375" style="27" bestFit="1" customWidth="1"/>
    <col min="23" max="23" width="5.6640625" style="40" bestFit="1" customWidth="1"/>
    <col min="24" max="24" width="19.6640625" style="27" bestFit="1" customWidth="1"/>
    <col min="25" max="25" width="8.6640625" style="39" bestFit="1" customWidth="1"/>
    <col min="26" max="26" width="8.6640625" style="39" customWidth="1"/>
    <col min="27" max="27" width="8.6640625" style="40"/>
    <col min="28" max="28" width="8.6640625" style="40" bestFit="1" customWidth="1"/>
    <col min="29" max="29" width="8.6640625" style="27"/>
    <col min="30" max="30" width="25.109375" style="27" bestFit="1" customWidth="1"/>
    <col min="31" max="32" width="8.6640625" style="40" bestFit="1" customWidth="1"/>
    <col min="33" max="33" width="7.6640625" style="40" bestFit="1" customWidth="1"/>
    <col min="34" max="34" width="10.6640625" style="27" customWidth="1"/>
    <col min="35" max="35" width="26.44140625" style="27" bestFit="1" customWidth="1"/>
    <col min="36" max="36" width="7.6640625" style="40" bestFit="1" customWidth="1"/>
    <col min="37" max="37" width="23.33203125" style="27" bestFit="1" customWidth="1"/>
    <col min="38" max="38" width="25.6640625" style="27" bestFit="1" customWidth="1"/>
    <col min="39" max="39" width="9.6640625" style="43" bestFit="1" customWidth="1"/>
    <col min="40" max="40" width="5.6640625" style="39" bestFit="1" customWidth="1"/>
    <col min="41" max="43" width="8.6640625" style="27"/>
    <col min="44" max="44" width="25.109375" style="27" bestFit="1" customWidth="1"/>
    <col min="45" max="45" width="120.6640625" style="27" bestFit="1" customWidth="1"/>
    <col min="46" max="16384" width="8.6640625" style="27"/>
  </cols>
  <sheetData>
    <row r="1" spans="1:45" x14ac:dyDescent="0.3">
      <c r="A1" s="67" t="s">
        <v>0</v>
      </c>
      <c r="B1" s="67"/>
      <c r="C1" s="67"/>
      <c r="D1" s="67"/>
      <c r="E1" s="67"/>
      <c r="F1" s="67"/>
      <c r="G1" s="68"/>
      <c r="H1" s="69" t="s">
        <v>1</v>
      </c>
      <c r="I1" s="67"/>
      <c r="J1" s="67"/>
      <c r="K1" s="67"/>
      <c r="L1" s="67"/>
      <c r="M1" s="67"/>
      <c r="N1" s="67"/>
      <c r="O1" s="67"/>
      <c r="P1" s="67"/>
      <c r="Q1" s="67"/>
      <c r="R1" s="67"/>
      <c r="S1" s="67"/>
      <c r="T1" s="68"/>
      <c r="U1" s="67" t="s">
        <v>2</v>
      </c>
      <c r="V1" s="68"/>
      <c r="W1" s="67" t="s">
        <v>610</v>
      </c>
      <c r="X1" s="68"/>
      <c r="Y1" s="67" t="s">
        <v>3</v>
      </c>
      <c r="Z1" s="67"/>
      <c r="AA1" s="67"/>
      <c r="AB1" s="67"/>
      <c r="AC1" s="67"/>
      <c r="AD1" s="67"/>
      <c r="AE1" s="67"/>
      <c r="AF1" s="68"/>
      <c r="AG1" s="67" t="s">
        <v>611</v>
      </c>
      <c r="AH1" s="67"/>
      <c r="AI1" s="67"/>
      <c r="AJ1" s="68"/>
      <c r="AK1" s="67" t="s">
        <v>4</v>
      </c>
      <c r="AL1" s="68"/>
      <c r="AM1" s="67" t="s">
        <v>869</v>
      </c>
      <c r="AN1" s="67"/>
      <c r="AO1" s="67"/>
      <c r="AP1" s="67"/>
      <c r="AQ1" s="67"/>
      <c r="AR1" s="68"/>
      <c r="AS1" s="26" t="s">
        <v>5</v>
      </c>
    </row>
    <row r="2" spans="1:45" ht="15" thickBot="1" x14ac:dyDescent="0.35">
      <c r="A2" s="28" t="s">
        <v>6</v>
      </c>
      <c r="B2" s="28" t="s">
        <v>7</v>
      </c>
      <c r="C2" s="28" t="s">
        <v>8</v>
      </c>
      <c r="D2" s="28" t="s">
        <v>9</v>
      </c>
      <c r="E2" s="28" t="s">
        <v>0</v>
      </c>
      <c r="F2" s="28" t="s">
        <v>10</v>
      </c>
      <c r="G2" s="29" t="s">
        <v>11</v>
      </c>
      <c r="H2" s="30" t="s">
        <v>12</v>
      </c>
      <c r="I2" s="31" t="s">
        <v>13</v>
      </c>
      <c r="J2" s="28" t="s">
        <v>870</v>
      </c>
      <c r="K2" s="28" t="s">
        <v>871</v>
      </c>
      <c r="L2" s="32" t="s">
        <v>872</v>
      </c>
      <c r="M2" s="32" t="s">
        <v>873</v>
      </c>
      <c r="N2" s="32" t="s">
        <v>874</v>
      </c>
      <c r="O2" s="28" t="s">
        <v>24</v>
      </c>
      <c r="P2" s="32" t="s">
        <v>875</v>
      </c>
      <c r="Q2" s="32" t="s">
        <v>876</v>
      </c>
      <c r="R2" s="28" t="s">
        <v>14</v>
      </c>
      <c r="S2" s="28" t="s">
        <v>659</v>
      </c>
      <c r="T2" s="33" t="s">
        <v>15</v>
      </c>
      <c r="U2" s="32" t="s">
        <v>16</v>
      </c>
      <c r="V2" s="29" t="s">
        <v>17</v>
      </c>
      <c r="W2" s="32" t="s">
        <v>609</v>
      </c>
      <c r="X2" s="29" t="s">
        <v>18</v>
      </c>
      <c r="Y2" s="31" t="s">
        <v>877</v>
      </c>
      <c r="Z2" s="32" t="s">
        <v>878</v>
      </c>
      <c r="AA2" s="32" t="s">
        <v>21</v>
      </c>
      <c r="AB2" s="32" t="s">
        <v>879</v>
      </c>
      <c r="AC2" s="28" t="s">
        <v>24</v>
      </c>
      <c r="AD2" s="28" t="s">
        <v>25</v>
      </c>
      <c r="AE2" s="32" t="s">
        <v>660</v>
      </c>
      <c r="AF2" s="34" t="s">
        <v>661</v>
      </c>
      <c r="AG2" s="32" t="s">
        <v>26</v>
      </c>
      <c r="AH2" s="28" t="s">
        <v>24</v>
      </c>
      <c r="AI2" s="28" t="s">
        <v>27</v>
      </c>
      <c r="AJ2" s="34" t="s">
        <v>662</v>
      </c>
      <c r="AK2" s="28" t="s">
        <v>28</v>
      </c>
      <c r="AL2" s="29" t="s">
        <v>29</v>
      </c>
      <c r="AM2" s="35" t="s">
        <v>880</v>
      </c>
      <c r="AN2" s="31" t="s">
        <v>881</v>
      </c>
      <c r="AO2" s="28" t="s">
        <v>24</v>
      </c>
      <c r="AP2" s="28" t="s">
        <v>23</v>
      </c>
      <c r="AQ2" s="28" t="s">
        <v>882</v>
      </c>
      <c r="AR2" s="29" t="s">
        <v>883</v>
      </c>
      <c r="AS2" s="36"/>
    </row>
    <row r="3" spans="1:45" x14ac:dyDescent="0.3">
      <c r="A3" s="27" t="s">
        <v>143</v>
      </c>
      <c r="B3" s="27" t="s">
        <v>228</v>
      </c>
      <c r="C3" s="27" t="s">
        <v>612</v>
      </c>
      <c r="D3" s="27" t="s">
        <v>613</v>
      </c>
      <c r="E3" s="27" t="s">
        <v>614</v>
      </c>
      <c r="F3" s="27" t="str">
        <f t="shared" ref="F3:F8" si="0">CONCATENATE(D3, " ", E3)</f>
        <v>Ammodytes marinus</v>
      </c>
      <c r="G3" s="37" t="s">
        <v>615</v>
      </c>
      <c r="H3" s="38" t="s">
        <v>616</v>
      </c>
      <c r="I3" s="39">
        <v>2.1</v>
      </c>
      <c r="J3" s="27">
        <v>0</v>
      </c>
      <c r="K3" s="27">
        <v>1</v>
      </c>
      <c r="L3" s="40">
        <f>Z3-(Z3-AB3)*EXP(-Y3*J3)</f>
        <v>0</v>
      </c>
      <c r="M3" s="40">
        <f>Z3-(Z3-AB3)*EXP(-Y3*K3)</f>
        <v>5.5929879676859251</v>
      </c>
      <c r="N3" s="40">
        <f>AVERAGE(L3:M3)</f>
        <v>2.7964939838429625</v>
      </c>
      <c r="O3" s="27" t="s">
        <v>36</v>
      </c>
      <c r="P3" s="40">
        <f>N3</f>
        <v>2.7964939838429625</v>
      </c>
      <c r="Q3" s="40">
        <f t="shared" ref="Q3:Q8" si="1">AM3*N3^AN3</f>
        <v>3.7777154411944021E-2</v>
      </c>
      <c r="R3" s="27" t="s">
        <v>32</v>
      </c>
      <c r="S3" s="27" t="s">
        <v>314</v>
      </c>
      <c r="T3" s="37" t="s">
        <v>617</v>
      </c>
      <c r="U3" s="40">
        <v>6</v>
      </c>
      <c r="V3" s="37" t="s">
        <v>617</v>
      </c>
      <c r="W3" s="40">
        <v>1.5</v>
      </c>
      <c r="X3" s="41" t="s">
        <v>619</v>
      </c>
      <c r="Y3" s="39">
        <v>0.36</v>
      </c>
      <c r="Z3" s="40">
        <v>18.5</v>
      </c>
      <c r="AA3" s="40">
        <v>0</v>
      </c>
      <c r="AB3" s="40">
        <v>0</v>
      </c>
      <c r="AC3" s="27" t="s">
        <v>36</v>
      </c>
      <c r="AD3" s="27" t="s">
        <v>618</v>
      </c>
      <c r="AE3" s="40">
        <f>Z3</f>
        <v>18.5</v>
      </c>
      <c r="AF3" s="42">
        <f>AB3</f>
        <v>0</v>
      </c>
      <c r="AG3" s="40">
        <f>AVERAGE(110, 113, 116, 119)/10</f>
        <v>11.45</v>
      </c>
      <c r="AH3" s="27" t="s">
        <v>36</v>
      </c>
      <c r="AI3" s="27" t="s">
        <v>619</v>
      </c>
      <c r="AJ3" s="42">
        <f>AG3</f>
        <v>11.45</v>
      </c>
      <c r="AK3" s="27" t="s">
        <v>884</v>
      </c>
      <c r="AL3" s="37" t="s">
        <v>884</v>
      </c>
      <c r="AM3" s="43">
        <v>1.243E-3</v>
      </c>
      <c r="AN3" s="39">
        <v>3.32</v>
      </c>
      <c r="AO3" s="27" t="s">
        <v>36</v>
      </c>
      <c r="AP3" s="27" t="s">
        <v>35</v>
      </c>
      <c r="AQ3" s="27" t="s">
        <v>885</v>
      </c>
      <c r="AR3" s="37" t="s">
        <v>886</v>
      </c>
      <c r="AS3" s="37" t="s">
        <v>887</v>
      </c>
    </row>
    <row r="4" spans="1:45" x14ac:dyDescent="0.3">
      <c r="A4" s="27" t="s">
        <v>143</v>
      </c>
      <c r="B4" s="27" t="s">
        <v>154</v>
      </c>
      <c r="C4" s="27" t="s">
        <v>155</v>
      </c>
      <c r="D4" s="27" t="s">
        <v>888</v>
      </c>
      <c r="E4" s="27" t="s">
        <v>889</v>
      </c>
      <c r="F4" s="27" t="str">
        <f t="shared" si="0"/>
        <v>Clupea pallasi</v>
      </c>
      <c r="G4" s="37" t="s">
        <v>890</v>
      </c>
      <c r="H4" s="38" t="s">
        <v>891</v>
      </c>
      <c r="I4" s="39">
        <v>3.2850000000000001</v>
      </c>
      <c r="J4" s="27">
        <v>0</v>
      </c>
      <c r="K4" s="27">
        <v>1</v>
      </c>
      <c r="L4" s="40">
        <f>Z4-(Z4-AB4)*EXP(-Y4*J4)</f>
        <v>0</v>
      </c>
      <c r="M4" s="40">
        <f>Z4-(Z4-AB4)*EXP(-Y4*K4)</f>
        <v>7.7419725925008294</v>
      </c>
      <c r="N4" s="40">
        <f>AVERAGE(L4:M4)</f>
        <v>3.8709862962504147</v>
      </c>
      <c r="O4" s="27" t="s">
        <v>36</v>
      </c>
      <c r="P4" s="40">
        <f>N4</f>
        <v>3.8709862962504147</v>
      </c>
      <c r="Q4" s="40">
        <f t="shared" si="1"/>
        <v>0.46798205322223274</v>
      </c>
      <c r="R4" s="27" t="s">
        <v>32</v>
      </c>
      <c r="S4" s="27" t="s">
        <v>892</v>
      </c>
      <c r="T4" s="37" t="s">
        <v>893</v>
      </c>
      <c r="U4" s="40">
        <v>9</v>
      </c>
      <c r="V4" s="37" t="s">
        <v>894</v>
      </c>
      <c r="W4" s="40">
        <v>3</v>
      </c>
      <c r="X4" s="37" t="s">
        <v>894</v>
      </c>
      <c r="Y4" s="39">
        <v>0.25</v>
      </c>
      <c r="Z4" s="40">
        <v>35</v>
      </c>
      <c r="AA4" s="40">
        <v>0</v>
      </c>
      <c r="AB4" s="40">
        <v>0</v>
      </c>
      <c r="AC4" s="27" t="s">
        <v>36</v>
      </c>
      <c r="AD4" s="27" t="s">
        <v>618</v>
      </c>
      <c r="AE4" s="40">
        <f>Z4</f>
        <v>35</v>
      </c>
      <c r="AF4" s="42">
        <f>AB4</f>
        <v>0</v>
      </c>
      <c r="AG4" s="40">
        <f>Z4-(Z4-AB4)*EXP(-Y4*W4)</f>
        <v>18.467170654064486</v>
      </c>
      <c r="AH4" s="27" t="s">
        <v>36</v>
      </c>
      <c r="AI4" s="27" t="s">
        <v>641</v>
      </c>
      <c r="AJ4" s="42">
        <f>AG4</f>
        <v>18.467170654064486</v>
      </c>
      <c r="AK4" s="27" t="s">
        <v>884</v>
      </c>
      <c r="AL4" s="37" t="s">
        <v>884</v>
      </c>
      <c r="AM4" s="43">
        <v>7.2399999999999999E-3</v>
      </c>
      <c r="AN4" s="39">
        <v>3.08</v>
      </c>
      <c r="AO4" s="27" t="s">
        <v>36</v>
      </c>
      <c r="AP4" s="27" t="s">
        <v>35</v>
      </c>
      <c r="AQ4" s="27" t="s">
        <v>885</v>
      </c>
      <c r="AR4" s="37" t="s">
        <v>895</v>
      </c>
      <c r="AS4" s="37" t="s">
        <v>896</v>
      </c>
    </row>
    <row r="5" spans="1:45" x14ac:dyDescent="0.3">
      <c r="A5" s="27" t="s">
        <v>143</v>
      </c>
      <c r="B5" s="27" t="s">
        <v>190</v>
      </c>
      <c r="C5" s="27" t="s">
        <v>191</v>
      </c>
      <c r="D5" s="27" t="s">
        <v>897</v>
      </c>
      <c r="E5" s="27" t="s">
        <v>898</v>
      </c>
      <c r="F5" s="27" t="str">
        <f t="shared" si="0"/>
        <v>Gadus morhua</v>
      </c>
      <c r="G5" s="37" t="s">
        <v>899</v>
      </c>
      <c r="H5" s="38" t="s">
        <v>900</v>
      </c>
      <c r="I5" s="39">
        <v>1.18</v>
      </c>
      <c r="J5" s="27" t="s">
        <v>884</v>
      </c>
      <c r="K5" s="27" t="s">
        <v>884</v>
      </c>
      <c r="L5" s="40" t="s">
        <v>884</v>
      </c>
      <c r="M5" s="40" t="s">
        <v>884</v>
      </c>
      <c r="N5" s="40">
        <v>20.8</v>
      </c>
      <c r="O5" s="27" t="s">
        <v>36</v>
      </c>
      <c r="P5" s="40">
        <f>N5</f>
        <v>20.8</v>
      </c>
      <c r="Q5" s="40">
        <f t="shared" si="1"/>
        <v>81.220999460787539</v>
      </c>
      <c r="R5" s="27" t="s">
        <v>32</v>
      </c>
      <c r="S5" s="27" t="s">
        <v>64</v>
      </c>
      <c r="T5" s="37" t="s">
        <v>901</v>
      </c>
      <c r="U5" s="40">
        <v>13</v>
      </c>
      <c r="V5" s="37" t="s">
        <v>902</v>
      </c>
      <c r="W5" s="40">
        <f>AVERAGE(7.31, 6.36, 7.12, 6.34, 7.38, 6.28, 6.58, 6.18, 6.79, 5.88, 6.59, 5.57, 7.02, 5.91)</f>
        <v>6.5221428571428559</v>
      </c>
      <c r="X5" s="37" t="s">
        <v>902</v>
      </c>
      <c r="Y5" s="39">
        <v>0.1</v>
      </c>
      <c r="Z5" s="40">
        <v>134</v>
      </c>
      <c r="AA5" s="40">
        <v>0</v>
      </c>
      <c r="AB5" s="40">
        <v>0</v>
      </c>
      <c r="AC5" s="27" t="s">
        <v>36</v>
      </c>
      <c r="AD5" s="27" t="s">
        <v>618</v>
      </c>
      <c r="AE5" s="40">
        <f>Z5</f>
        <v>134</v>
      </c>
      <c r="AF5" s="42">
        <f>AB5</f>
        <v>0</v>
      </c>
      <c r="AG5" s="40">
        <f>AVERAGE(76.44, 62.74, 74.07, 63.66, 78.04, 67.59, 72.83, 68.07, 74.78, 66.59, 73.66, 63.93, 79.71, 66.49)</f>
        <v>70.614285714285714</v>
      </c>
      <c r="AH5" s="27" t="s">
        <v>36</v>
      </c>
      <c r="AI5" s="27" t="s">
        <v>902</v>
      </c>
      <c r="AJ5" s="42">
        <f>AG5</f>
        <v>70.614285714285714</v>
      </c>
      <c r="AK5" s="27" t="s">
        <v>884</v>
      </c>
      <c r="AL5" s="37" t="s">
        <v>884</v>
      </c>
      <c r="AM5" s="43">
        <v>7.0800000000000004E-3</v>
      </c>
      <c r="AN5" s="39">
        <v>3.08</v>
      </c>
      <c r="AO5" s="27" t="s">
        <v>36</v>
      </c>
      <c r="AP5" s="27" t="s">
        <v>35</v>
      </c>
      <c r="AQ5" s="27" t="s">
        <v>885</v>
      </c>
      <c r="AR5" s="37" t="s">
        <v>895</v>
      </c>
      <c r="AS5" s="37" t="s">
        <v>903</v>
      </c>
    </row>
    <row r="6" spans="1:45" x14ac:dyDescent="0.3">
      <c r="A6" s="27" t="s">
        <v>143</v>
      </c>
      <c r="B6" s="27" t="s">
        <v>190</v>
      </c>
      <c r="C6" s="27" t="s">
        <v>191</v>
      </c>
      <c r="D6" s="27" t="s">
        <v>897</v>
      </c>
      <c r="E6" s="27" t="s">
        <v>898</v>
      </c>
      <c r="F6" s="27" t="str">
        <f t="shared" si="0"/>
        <v>Gadus morhua</v>
      </c>
      <c r="G6" s="37" t="s">
        <v>899</v>
      </c>
      <c r="H6" s="38" t="s">
        <v>900</v>
      </c>
      <c r="I6" s="39">
        <v>0.5</v>
      </c>
      <c r="J6" s="27" t="s">
        <v>884</v>
      </c>
      <c r="K6" s="27" t="s">
        <v>884</v>
      </c>
      <c r="L6" s="40" t="s">
        <v>884</v>
      </c>
      <c r="M6" s="40" t="s">
        <v>884</v>
      </c>
      <c r="N6" s="40">
        <v>39.6</v>
      </c>
      <c r="O6" s="27" t="s">
        <v>36</v>
      </c>
      <c r="P6" s="40">
        <f>N6</f>
        <v>39.6</v>
      </c>
      <c r="Q6" s="40">
        <f t="shared" si="1"/>
        <v>590.1119785039441</v>
      </c>
      <c r="R6" s="27" t="s">
        <v>32</v>
      </c>
      <c r="S6" s="27" t="s">
        <v>64</v>
      </c>
      <c r="T6" s="37" t="s">
        <v>901</v>
      </c>
      <c r="U6" s="40">
        <v>13</v>
      </c>
      <c r="V6" s="37" t="s">
        <v>902</v>
      </c>
      <c r="W6" s="40">
        <f>AVERAGE(7.31, 6.36, 7.12, 6.34, 7.38, 6.28, 6.58, 6.18, 6.79, 5.88, 6.59, 5.57, 7.02, 5.91)</f>
        <v>6.5221428571428559</v>
      </c>
      <c r="X6" s="37" t="s">
        <v>902</v>
      </c>
      <c r="Y6" s="39">
        <v>0.1</v>
      </c>
      <c r="Z6" s="40">
        <v>134</v>
      </c>
      <c r="AA6" s="40">
        <v>0</v>
      </c>
      <c r="AB6" s="40">
        <v>0</v>
      </c>
      <c r="AC6" s="27" t="s">
        <v>36</v>
      </c>
      <c r="AD6" s="27" t="s">
        <v>618</v>
      </c>
      <c r="AE6" s="40">
        <f>Z6</f>
        <v>134</v>
      </c>
      <c r="AF6" s="42">
        <f>AB6</f>
        <v>0</v>
      </c>
      <c r="AG6" s="40">
        <f>AVERAGE(76.44, 62.74, 74.07, 63.66, 78.04, 67.59, 72.83, 68.07, 74.78, 66.59, 73.66, 63.93, 79.71, 66.49)</f>
        <v>70.614285714285714</v>
      </c>
      <c r="AH6" s="27" t="s">
        <v>36</v>
      </c>
      <c r="AI6" s="27" t="s">
        <v>902</v>
      </c>
      <c r="AJ6" s="42">
        <f>AG6</f>
        <v>70.614285714285714</v>
      </c>
      <c r="AK6" s="27" t="s">
        <v>884</v>
      </c>
      <c r="AL6" s="37" t="s">
        <v>884</v>
      </c>
      <c r="AM6" s="43">
        <v>7.0800000000000004E-3</v>
      </c>
      <c r="AN6" s="39">
        <v>3.08</v>
      </c>
      <c r="AO6" s="27" t="s">
        <v>36</v>
      </c>
      <c r="AP6" s="27" t="s">
        <v>35</v>
      </c>
      <c r="AQ6" s="27" t="s">
        <v>885</v>
      </c>
      <c r="AR6" s="37" t="s">
        <v>895</v>
      </c>
      <c r="AS6" s="37" t="s">
        <v>903</v>
      </c>
    </row>
    <row r="7" spans="1:45" x14ac:dyDescent="0.3">
      <c r="A7" s="27" t="s">
        <v>143</v>
      </c>
      <c r="B7" s="27" t="s">
        <v>190</v>
      </c>
      <c r="C7" s="27" t="s">
        <v>191</v>
      </c>
      <c r="D7" s="27" t="s">
        <v>897</v>
      </c>
      <c r="E7" s="27" t="s">
        <v>898</v>
      </c>
      <c r="F7" s="27" t="str">
        <f t="shared" si="0"/>
        <v>Gadus morhua</v>
      </c>
      <c r="G7" s="37" t="s">
        <v>899</v>
      </c>
      <c r="H7" s="38" t="s">
        <v>904</v>
      </c>
      <c r="I7" s="39">
        <f>-LN(1-0.25)</f>
        <v>0.2876820724517809</v>
      </c>
      <c r="J7" s="27" t="s">
        <v>884</v>
      </c>
      <c r="K7" s="27" t="s">
        <v>884</v>
      </c>
      <c r="L7" s="40" t="s">
        <v>884</v>
      </c>
      <c r="M7" s="40" t="s">
        <v>884</v>
      </c>
      <c r="N7" s="40">
        <v>45</v>
      </c>
      <c r="O7" s="27" t="s">
        <v>50</v>
      </c>
      <c r="P7" s="40">
        <f>N7</f>
        <v>45</v>
      </c>
      <c r="Q7" s="40">
        <f t="shared" si="1"/>
        <v>888.31271373500579</v>
      </c>
      <c r="R7" s="27" t="s">
        <v>32</v>
      </c>
      <c r="S7" s="27" t="s">
        <v>905</v>
      </c>
      <c r="T7" s="37" t="s">
        <v>906</v>
      </c>
      <c r="U7" s="40">
        <v>10</v>
      </c>
      <c r="V7" s="37" t="s">
        <v>906</v>
      </c>
      <c r="W7" s="40">
        <v>3.1</v>
      </c>
      <c r="X7" s="37" t="s">
        <v>906</v>
      </c>
      <c r="Y7" s="39">
        <v>0.1</v>
      </c>
      <c r="Z7" s="40">
        <v>114</v>
      </c>
      <c r="AA7" s="40">
        <v>-1.69</v>
      </c>
      <c r="AB7" s="40">
        <f t="shared" ref="AB7:AB18" si="2">Z7*(1-EXP(Y7*AA7))</f>
        <v>17.725985013992084</v>
      </c>
      <c r="AC7" s="27" t="s">
        <v>36</v>
      </c>
      <c r="AD7" s="27" t="s">
        <v>907</v>
      </c>
      <c r="AE7" s="40">
        <f>Z7</f>
        <v>114</v>
      </c>
      <c r="AF7" s="42">
        <f>AB7</f>
        <v>17.725985013992084</v>
      </c>
      <c r="AG7" s="40">
        <v>47</v>
      </c>
      <c r="AH7" s="27" t="s">
        <v>50</v>
      </c>
      <c r="AI7" s="27" t="s">
        <v>906</v>
      </c>
      <c r="AJ7" s="42">
        <f>AG7</f>
        <v>47</v>
      </c>
      <c r="AK7" s="27" t="s">
        <v>908</v>
      </c>
      <c r="AL7" s="37" t="s">
        <v>895</v>
      </c>
      <c r="AM7" s="43">
        <f>10^-1.897</f>
        <v>1.2676518658578453E-2</v>
      </c>
      <c r="AN7" s="39">
        <v>2.931</v>
      </c>
      <c r="AO7" s="27" t="s">
        <v>36</v>
      </c>
      <c r="AP7" s="27" t="s">
        <v>35</v>
      </c>
      <c r="AQ7" s="27" t="s">
        <v>885</v>
      </c>
      <c r="AR7" s="37" t="s">
        <v>907</v>
      </c>
      <c r="AS7" s="37"/>
    </row>
    <row r="8" spans="1:45" x14ac:dyDescent="0.3">
      <c r="A8" s="44" t="s">
        <v>143</v>
      </c>
      <c r="B8" s="44" t="s">
        <v>228</v>
      </c>
      <c r="C8" s="44" t="s">
        <v>620</v>
      </c>
      <c r="D8" s="44" t="s">
        <v>632</v>
      </c>
      <c r="E8" s="44" t="s">
        <v>633</v>
      </c>
      <c r="F8" s="44" t="str">
        <f t="shared" si="0"/>
        <v>Katsuwonus pelamis</v>
      </c>
      <c r="G8" s="3" t="s">
        <v>634</v>
      </c>
      <c r="H8" s="45" t="s">
        <v>909</v>
      </c>
      <c r="I8" s="46">
        <v>2.09</v>
      </c>
      <c r="J8" s="44">
        <v>0</v>
      </c>
      <c r="K8" s="44">
        <v>1</v>
      </c>
      <c r="L8" s="47">
        <f>Z8-(Z8-AB8)*EXP(-Y8*J8)</f>
        <v>17.782405473005042</v>
      </c>
      <c r="M8" s="47">
        <f>Z8-(Z8-AB8)*EXP(-Y8*K8)</f>
        <v>44.27996522014503</v>
      </c>
      <c r="N8" s="47">
        <f t="shared" ref="N8:N20" si="3">AVERAGE(L8:M8)</f>
        <v>31.031185346575036</v>
      </c>
      <c r="O8" s="44" t="s">
        <v>50</v>
      </c>
      <c r="P8" s="47">
        <f>1*N8</f>
        <v>31.031185346575036</v>
      </c>
      <c r="Q8" s="47">
        <f t="shared" si="1"/>
        <v>410.81977784442284</v>
      </c>
      <c r="R8" s="44" t="s">
        <v>32</v>
      </c>
      <c r="S8" s="44" t="s">
        <v>64</v>
      </c>
      <c r="T8" s="3" t="s">
        <v>635</v>
      </c>
      <c r="U8" s="47">
        <v>4.5</v>
      </c>
      <c r="V8" s="3" t="s">
        <v>635</v>
      </c>
      <c r="W8" s="47">
        <f>1/Y8*LN((AE8-AF8)/(AE8-AJ8))</f>
        <v>1.0009448893834929</v>
      </c>
      <c r="X8" s="3" t="s">
        <v>629</v>
      </c>
      <c r="Y8" s="46">
        <v>0.43</v>
      </c>
      <c r="Z8" s="47">
        <v>93.6</v>
      </c>
      <c r="AA8" s="47">
        <v>-0.49</v>
      </c>
      <c r="AB8" s="47">
        <f t="shared" si="2"/>
        <v>17.782405473005038</v>
      </c>
      <c r="AC8" s="44" t="s">
        <v>50</v>
      </c>
      <c r="AD8" s="44" t="s">
        <v>636</v>
      </c>
      <c r="AE8" s="47">
        <f>1*Z8</f>
        <v>93.6</v>
      </c>
      <c r="AF8" s="8">
        <f>1*AB8</f>
        <v>17.782405473005038</v>
      </c>
      <c r="AG8" s="47">
        <f>AVERAGE(40.7, 47.9)</f>
        <v>44.3</v>
      </c>
      <c r="AH8" s="44" t="s">
        <v>50</v>
      </c>
      <c r="AI8" s="44" t="s">
        <v>637</v>
      </c>
      <c r="AJ8" s="8">
        <f>1*AG8</f>
        <v>44.3</v>
      </c>
      <c r="AK8" s="44" t="s">
        <v>326</v>
      </c>
      <c r="AL8" s="37" t="s">
        <v>895</v>
      </c>
      <c r="AM8" s="48">
        <v>3.8999999999999998E-3</v>
      </c>
      <c r="AN8" s="46">
        <v>3.3668</v>
      </c>
      <c r="AO8" s="44" t="s">
        <v>50</v>
      </c>
      <c r="AP8" s="44" t="s">
        <v>35</v>
      </c>
      <c r="AQ8" s="44" t="s">
        <v>885</v>
      </c>
      <c r="AR8" s="3" t="s">
        <v>910</v>
      </c>
      <c r="AS8" s="3"/>
    </row>
    <row r="9" spans="1:45" x14ac:dyDescent="0.3">
      <c r="A9" s="27" t="s">
        <v>143</v>
      </c>
      <c r="B9" s="27" t="s">
        <v>228</v>
      </c>
      <c r="C9" s="27" t="s">
        <v>911</v>
      </c>
      <c r="D9" s="27" t="s">
        <v>912</v>
      </c>
      <c r="E9" s="27" t="s">
        <v>913</v>
      </c>
      <c r="F9" s="27" t="s">
        <v>914</v>
      </c>
      <c r="G9" s="37" t="s">
        <v>915</v>
      </c>
      <c r="H9" s="38" t="s">
        <v>916</v>
      </c>
      <c r="I9" s="39">
        <v>2.58</v>
      </c>
      <c r="J9" s="27" t="s">
        <v>884</v>
      </c>
      <c r="K9" s="27" t="s">
        <v>884</v>
      </c>
      <c r="L9" s="40">
        <v>3</v>
      </c>
      <c r="M9" s="40">
        <v>18</v>
      </c>
      <c r="N9" s="40">
        <f t="shared" si="3"/>
        <v>10.5</v>
      </c>
      <c r="O9" s="27" t="s">
        <v>50</v>
      </c>
      <c r="P9" s="40">
        <f>1.149*N9</f>
        <v>12.064500000000001</v>
      </c>
      <c r="Q9" s="40">
        <f>AM9*(N9*10)^AN9</f>
        <v>36.935459025299075</v>
      </c>
      <c r="R9" s="27" t="s">
        <v>32</v>
      </c>
      <c r="S9" s="27" t="s">
        <v>917</v>
      </c>
      <c r="T9" s="37" t="s">
        <v>918</v>
      </c>
      <c r="U9" s="40">
        <f>AVERAGE(29, 31)</f>
        <v>30</v>
      </c>
      <c r="V9" s="37" t="s">
        <v>919</v>
      </c>
      <c r="W9" s="40">
        <f>AVERAGE(4.5, 2.7)</f>
        <v>3.6</v>
      </c>
      <c r="X9" s="37" t="s">
        <v>919</v>
      </c>
      <c r="Y9" s="39">
        <v>0.17</v>
      </c>
      <c r="Z9" s="40">
        <v>77</v>
      </c>
      <c r="AA9" s="40">
        <v>0.1</v>
      </c>
      <c r="AB9" s="40">
        <f t="shared" si="2"/>
        <v>-1.3201898190435328</v>
      </c>
      <c r="AC9" s="27" t="s">
        <v>50</v>
      </c>
      <c r="AD9" s="27" t="s">
        <v>919</v>
      </c>
      <c r="AE9" s="40">
        <f>1.149*Z9</f>
        <v>88.472999999999999</v>
      </c>
      <c r="AF9" s="42">
        <f>1.149*AB9</f>
        <v>-1.5168981020810193</v>
      </c>
      <c r="AG9" s="40">
        <f>AVERAGE(42, 33)</f>
        <v>37.5</v>
      </c>
      <c r="AH9" s="27" t="s">
        <v>50</v>
      </c>
      <c r="AI9" s="27" t="s">
        <v>919</v>
      </c>
      <c r="AJ9" s="42">
        <f>1.149*AG9</f>
        <v>43.087499999999999</v>
      </c>
      <c r="AK9" s="27" t="s">
        <v>920</v>
      </c>
      <c r="AL9" s="37" t="s">
        <v>895</v>
      </c>
      <c r="AM9" s="43">
        <v>1.4799999999999999E-4</v>
      </c>
      <c r="AN9" s="39">
        <v>2.6703000000000001</v>
      </c>
      <c r="AO9" s="27" t="s">
        <v>50</v>
      </c>
      <c r="AP9" s="27" t="s">
        <v>40</v>
      </c>
      <c r="AQ9" s="27" t="s">
        <v>885</v>
      </c>
      <c r="AR9" s="37" t="s">
        <v>919</v>
      </c>
      <c r="AS9" s="37"/>
    </row>
    <row r="10" spans="1:45" x14ac:dyDescent="0.3">
      <c r="A10" s="27" t="s">
        <v>143</v>
      </c>
      <c r="B10" s="27" t="s">
        <v>228</v>
      </c>
      <c r="C10" s="27" t="s">
        <v>415</v>
      </c>
      <c r="D10" s="27" t="s">
        <v>543</v>
      </c>
      <c r="E10" s="27" t="s">
        <v>544</v>
      </c>
      <c r="F10" s="27" t="str">
        <f t="shared" ref="F10:F20" si="4">CONCATENATE(D10, " ", E10)</f>
        <v>Protonibea diacanthus</v>
      </c>
      <c r="G10" s="37" t="s">
        <v>545</v>
      </c>
      <c r="H10" s="38" t="s">
        <v>546</v>
      </c>
      <c r="I10" s="39">
        <f>-LN(0.414927)</f>
        <v>0.8796526778387519</v>
      </c>
      <c r="J10" s="27">
        <v>1</v>
      </c>
      <c r="K10" s="27">
        <v>2</v>
      </c>
      <c r="L10" s="40">
        <f>Z10-(Z10-AB10)*EXP(-Y10*J10)</f>
        <v>41.296278423955286</v>
      </c>
      <c r="M10" s="40">
        <f>Z10-(Z10-AB10)*EXP(-Y10*K10)</f>
        <v>63.141151439297268</v>
      </c>
      <c r="N10" s="40">
        <f t="shared" si="3"/>
        <v>52.21871493162628</v>
      </c>
      <c r="O10" s="27" t="s">
        <v>36</v>
      </c>
      <c r="P10" s="40">
        <f>N10</f>
        <v>52.21871493162628</v>
      </c>
      <c r="Q10" s="40">
        <f>AM10*N10^AN10</f>
        <v>1541.0144735730928</v>
      </c>
      <c r="R10" s="27" t="s">
        <v>32</v>
      </c>
      <c r="S10" s="27" t="s">
        <v>917</v>
      </c>
      <c r="T10" s="37" t="s">
        <v>547</v>
      </c>
      <c r="U10" s="47">
        <v>8</v>
      </c>
      <c r="V10" s="37" t="s">
        <v>548</v>
      </c>
      <c r="W10" s="40">
        <v>4</v>
      </c>
      <c r="X10" s="37" t="s">
        <v>549</v>
      </c>
      <c r="Y10" s="46">
        <v>0.315</v>
      </c>
      <c r="Z10" s="40">
        <v>122.14</v>
      </c>
      <c r="AA10" s="47">
        <v>-0.31</v>
      </c>
      <c r="AB10" s="40">
        <f t="shared" si="2"/>
        <v>11.363137778009689</v>
      </c>
      <c r="AC10" s="44" t="s">
        <v>36</v>
      </c>
      <c r="AD10" s="44" t="s">
        <v>548</v>
      </c>
      <c r="AE10" s="40">
        <f>Z10</f>
        <v>122.14</v>
      </c>
      <c r="AF10" s="42">
        <f>AB10</f>
        <v>11.363137778009689</v>
      </c>
      <c r="AG10" s="47">
        <v>85</v>
      </c>
      <c r="AH10" s="44" t="s">
        <v>36</v>
      </c>
      <c r="AI10" s="44" t="s">
        <v>549</v>
      </c>
      <c r="AJ10" s="42">
        <f>AG10</f>
        <v>85</v>
      </c>
      <c r="AK10" s="27" t="s">
        <v>884</v>
      </c>
      <c r="AL10" s="37" t="s">
        <v>884</v>
      </c>
      <c r="AM10" s="43">
        <v>5.6259999999999999E-3</v>
      </c>
      <c r="AN10" s="39">
        <v>3.1654</v>
      </c>
      <c r="AO10" s="27" t="s">
        <v>36</v>
      </c>
      <c r="AP10" s="27" t="s">
        <v>35</v>
      </c>
      <c r="AQ10" s="27" t="s">
        <v>885</v>
      </c>
      <c r="AR10" s="3" t="s">
        <v>549</v>
      </c>
      <c r="AS10" s="37"/>
    </row>
    <row r="11" spans="1:45" x14ac:dyDescent="0.3">
      <c r="A11" s="27" t="s">
        <v>143</v>
      </c>
      <c r="B11" s="27" t="s">
        <v>228</v>
      </c>
      <c r="C11" s="27" t="s">
        <v>415</v>
      </c>
      <c r="D11" s="27" t="s">
        <v>543</v>
      </c>
      <c r="E11" s="27" t="s">
        <v>544</v>
      </c>
      <c r="F11" s="27" t="str">
        <f t="shared" si="4"/>
        <v>Protonibea diacanthus</v>
      </c>
      <c r="G11" s="37" t="s">
        <v>545</v>
      </c>
      <c r="H11" s="38" t="s">
        <v>546</v>
      </c>
      <c r="I11" s="39">
        <f>-LN(0.798605)</f>
        <v>0.22488882341594163</v>
      </c>
      <c r="J11" s="27">
        <v>2</v>
      </c>
      <c r="K11" s="27">
        <v>3</v>
      </c>
      <c r="L11" s="40">
        <f>Z11-(Z11-AB11)*EXP(-Y11*J11)</f>
        <v>63.141151439297268</v>
      </c>
      <c r="M11" s="40">
        <f>Z11-(Z11-AB11)*EXP(-Y11*K11)</f>
        <v>79.083296725714206</v>
      </c>
      <c r="N11" s="40">
        <f t="shared" si="3"/>
        <v>71.112224082505733</v>
      </c>
      <c r="O11" s="27" t="s">
        <v>36</v>
      </c>
      <c r="P11" s="40">
        <f>N11</f>
        <v>71.112224082505733</v>
      </c>
      <c r="Q11" s="40">
        <f>AM11*N11^AN11</f>
        <v>4095.8504761647537</v>
      </c>
      <c r="R11" s="27" t="s">
        <v>32</v>
      </c>
      <c r="S11" s="27" t="s">
        <v>917</v>
      </c>
      <c r="T11" s="37" t="s">
        <v>547</v>
      </c>
      <c r="U11" s="47">
        <v>8</v>
      </c>
      <c r="V11" s="37" t="s">
        <v>548</v>
      </c>
      <c r="W11" s="40">
        <v>4</v>
      </c>
      <c r="X11" s="37" t="s">
        <v>549</v>
      </c>
      <c r="Y11" s="46">
        <v>0.315</v>
      </c>
      <c r="Z11" s="40">
        <v>122.14</v>
      </c>
      <c r="AA11" s="47">
        <v>-0.31</v>
      </c>
      <c r="AB11" s="40">
        <f t="shared" si="2"/>
        <v>11.363137778009689</v>
      </c>
      <c r="AC11" s="44" t="s">
        <v>36</v>
      </c>
      <c r="AD11" s="44" t="s">
        <v>548</v>
      </c>
      <c r="AE11" s="40">
        <f>Z11</f>
        <v>122.14</v>
      </c>
      <c r="AF11" s="42">
        <f>AB11</f>
        <v>11.363137778009689</v>
      </c>
      <c r="AG11" s="47">
        <v>85</v>
      </c>
      <c r="AH11" s="44" t="s">
        <v>36</v>
      </c>
      <c r="AI11" s="44" t="s">
        <v>549</v>
      </c>
      <c r="AJ11" s="42">
        <f>AG11</f>
        <v>85</v>
      </c>
      <c r="AK11" s="27" t="s">
        <v>884</v>
      </c>
      <c r="AL11" s="37" t="s">
        <v>884</v>
      </c>
      <c r="AM11" s="43">
        <v>5.6259999999999999E-3</v>
      </c>
      <c r="AN11" s="39">
        <v>3.1654</v>
      </c>
      <c r="AO11" s="27" t="s">
        <v>36</v>
      </c>
      <c r="AP11" s="27" t="s">
        <v>35</v>
      </c>
      <c r="AQ11" s="27" t="s">
        <v>885</v>
      </c>
      <c r="AR11" s="3" t="s">
        <v>549</v>
      </c>
      <c r="AS11" s="37"/>
    </row>
    <row r="12" spans="1:45" x14ac:dyDescent="0.3">
      <c r="A12" s="27" t="s">
        <v>143</v>
      </c>
      <c r="B12" s="27" t="s">
        <v>228</v>
      </c>
      <c r="C12" s="27" t="s">
        <v>620</v>
      </c>
      <c r="D12" s="27" t="s">
        <v>621</v>
      </c>
      <c r="E12" s="27" t="s">
        <v>626</v>
      </c>
      <c r="F12" s="27" t="str">
        <f t="shared" si="4"/>
        <v>Thunnus obesus</v>
      </c>
      <c r="G12" s="37" t="s">
        <v>921</v>
      </c>
      <c r="H12" s="38" t="s">
        <v>922</v>
      </c>
      <c r="I12" s="39">
        <v>2.1019999999999999</v>
      </c>
      <c r="J12" s="27" t="s">
        <v>884</v>
      </c>
      <c r="K12" s="27" t="s">
        <v>884</v>
      </c>
      <c r="L12" s="40">
        <v>29</v>
      </c>
      <c r="M12" s="40">
        <v>55</v>
      </c>
      <c r="N12" s="40">
        <f t="shared" si="3"/>
        <v>42</v>
      </c>
      <c r="O12" s="27" t="s">
        <v>50</v>
      </c>
      <c r="P12" s="40">
        <f>1.1*N12</f>
        <v>46.2</v>
      </c>
      <c r="Q12" s="40">
        <f>AM12*N12^AN12*1000</f>
        <v>1622.0491675951353</v>
      </c>
      <c r="R12" s="27" t="s">
        <v>32</v>
      </c>
      <c r="S12" s="27" t="s">
        <v>64</v>
      </c>
      <c r="T12" s="37" t="s">
        <v>923</v>
      </c>
      <c r="U12" s="40">
        <v>9</v>
      </c>
      <c r="V12" s="37" t="s">
        <v>924</v>
      </c>
      <c r="W12" s="40">
        <v>3</v>
      </c>
      <c r="X12" s="37" t="s">
        <v>925</v>
      </c>
      <c r="Y12" s="39">
        <v>0.22600000000000001</v>
      </c>
      <c r="Z12" s="40">
        <v>228.59</v>
      </c>
      <c r="AA12" s="40">
        <v>-0.42499999999999999</v>
      </c>
      <c r="AB12" s="40">
        <f t="shared" si="2"/>
        <v>20.934593596748208</v>
      </c>
      <c r="AC12" s="27" t="s">
        <v>50</v>
      </c>
      <c r="AD12" s="27" t="s">
        <v>924</v>
      </c>
      <c r="AE12" s="40">
        <f>1.1*Z12</f>
        <v>251.44900000000001</v>
      </c>
      <c r="AF12" s="42">
        <f>1.1*AB12</f>
        <v>23.028052956423032</v>
      </c>
      <c r="AG12" s="40">
        <f>Z12-(Z12-AB12)*EXP(-Y12*W12)</f>
        <v>123.17762850079539</v>
      </c>
      <c r="AH12" s="27" t="s">
        <v>50</v>
      </c>
      <c r="AI12" s="27" t="s">
        <v>641</v>
      </c>
      <c r="AJ12" s="42">
        <f>1.1*AG12</f>
        <v>135.49539135087494</v>
      </c>
      <c r="AK12" s="27" t="s">
        <v>631</v>
      </c>
      <c r="AL12" s="37" t="s">
        <v>895</v>
      </c>
      <c r="AM12" s="43">
        <f>2.77562*10^-5</f>
        <v>2.7756200000000004E-5</v>
      </c>
      <c r="AN12" s="39">
        <v>2.9365199999999998</v>
      </c>
      <c r="AO12" s="27" t="s">
        <v>50</v>
      </c>
      <c r="AP12" s="27" t="s">
        <v>35</v>
      </c>
      <c r="AQ12" s="27" t="s">
        <v>926</v>
      </c>
      <c r="AR12" s="37" t="s">
        <v>927</v>
      </c>
      <c r="AS12" s="37"/>
    </row>
    <row r="13" spans="1:45" x14ac:dyDescent="0.3">
      <c r="A13" s="27" t="s">
        <v>143</v>
      </c>
      <c r="B13" s="27" t="s">
        <v>228</v>
      </c>
      <c r="C13" s="27" t="s">
        <v>620</v>
      </c>
      <c r="D13" s="27" t="s">
        <v>621</v>
      </c>
      <c r="E13" s="27" t="s">
        <v>626</v>
      </c>
      <c r="F13" s="27" t="str">
        <f t="shared" si="4"/>
        <v>Thunnus obesus</v>
      </c>
      <c r="G13" s="37" t="s">
        <v>921</v>
      </c>
      <c r="H13" s="38" t="s">
        <v>922</v>
      </c>
      <c r="I13" s="39">
        <v>1.3560000000000001</v>
      </c>
      <c r="J13" s="27" t="s">
        <v>884</v>
      </c>
      <c r="K13" s="27" t="s">
        <v>884</v>
      </c>
      <c r="L13" s="40">
        <v>56</v>
      </c>
      <c r="M13" s="40">
        <v>70</v>
      </c>
      <c r="N13" s="40">
        <f t="shared" si="3"/>
        <v>63</v>
      </c>
      <c r="O13" s="27" t="s">
        <v>50</v>
      </c>
      <c r="P13" s="40">
        <f>1.1*N13</f>
        <v>69.300000000000011</v>
      </c>
      <c r="Q13" s="40">
        <f>AM13*N13^AN13*1000</f>
        <v>5335.3082795354976</v>
      </c>
      <c r="R13" s="27" t="s">
        <v>32</v>
      </c>
      <c r="S13" s="27" t="s">
        <v>64</v>
      </c>
      <c r="T13" s="37" t="s">
        <v>923</v>
      </c>
      <c r="U13" s="40">
        <v>9</v>
      </c>
      <c r="V13" s="37" t="s">
        <v>924</v>
      </c>
      <c r="W13" s="40">
        <v>3</v>
      </c>
      <c r="X13" s="37" t="s">
        <v>925</v>
      </c>
      <c r="Y13" s="39">
        <v>0.22600000000000001</v>
      </c>
      <c r="Z13" s="40">
        <v>228.59</v>
      </c>
      <c r="AA13" s="40">
        <v>-0.42499999999999999</v>
      </c>
      <c r="AB13" s="40">
        <f t="shared" si="2"/>
        <v>20.934593596748208</v>
      </c>
      <c r="AC13" s="27" t="s">
        <v>50</v>
      </c>
      <c r="AD13" s="27" t="s">
        <v>924</v>
      </c>
      <c r="AE13" s="40">
        <f>1.1*Z13</f>
        <v>251.44900000000001</v>
      </c>
      <c r="AF13" s="42">
        <f>1.1*AB13</f>
        <v>23.028052956423032</v>
      </c>
      <c r="AG13" s="40">
        <f>Z13-(Z13-AB13)*EXP(-Y13*W13)</f>
        <v>123.17762850079539</v>
      </c>
      <c r="AH13" s="27" t="s">
        <v>50</v>
      </c>
      <c r="AI13" s="27" t="s">
        <v>641</v>
      </c>
      <c r="AJ13" s="42">
        <f>1.1*AG13</f>
        <v>135.49539135087494</v>
      </c>
      <c r="AK13" s="27" t="s">
        <v>631</v>
      </c>
      <c r="AL13" s="37" t="s">
        <v>895</v>
      </c>
      <c r="AM13" s="43">
        <f>2.77562*10^-5</f>
        <v>2.7756200000000004E-5</v>
      </c>
      <c r="AN13" s="39">
        <v>2.9365199999999998</v>
      </c>
      <c r="AO13" s="27" t="s">
        <v>50</v>
      </c>
      <c r="AP13" s="27" t="s">
        <v>35</v>
      </c>
      <c r="AQ13" s="27" t="s">
        <v>926</v>
      </c>
      <c r="AR13" s="37" t="s">
        <v>927</v>
      </c>
      <c r="AS13" s="37"/>
    </row>
    <row r="14" spans="1:45" s="44" customFormat="1" x14ac:dyDescent="0.3">
      <c r="A14" s="27" t="s">
        <v>143</v>
      </c>
      <c r="B14" s="27" t="s">
        <v>228</v>
      </c>
      <c r="C14" s="27" t="s">
        <v>620</v>
      </c>
      <c r="D14" s="27" t="s">
        <v>621</v>
      </c>
      <c r="E14" s="27" t="s">
        <v>626</v>
      </c>
      <c r="F14" s="27" t="str">
        <f t="shared" si="4"/>
        <v>Thunnus obesus</v>
      </c>
      <c r="G14" s="37" t="s">
        <v>921</v>
      </c>
      <c r="H14" s="38" t="s">
        <v>909</v>
      </c>
      <c r="I14" s="39">
        <v>0.70299999999999996</v>
      </c>
      <c r="J14" s="27">
        <v>0</v>
      </c>
      <c r="K14" s="27">
        <v>1</v>
      </c>
      <c r="L14" s="40">
        <f t="shared" ref="L14:L19" si="5">Z14-(Z14-AB14)*EXP(-Y14*J14)</f>
        <v>31.094836359911653</v>
      </c>
      <c r="M14" s="40">
        <f t="shared" ref="M14:M19" si="6">Z14-(Z14-AB14)*EXP(-Y14*K14)</f>
        <v>63.25653988743457</v>
      </c>
      <c r="N14" s="40">
        <f t="shared" si="3"/>
        <v>47.175688123673112</v>
      </c>
      <c r="O14" s="27" t="s">
        <v>50</v>
      </c>
      <c r="P14" s="40">
        <f>1.1*N14</f>
        <v>51.89325693604043</v>
      </c>
      <c r="Q14" s="40">
        <f>AM14*N14^AN14*1000</f>
        <v>2293.863526728886</v>
      </c>
      <c r="R14" s="27" t="s">
        <v>32</v>
      </c>
      <c r="S14" s="27" t="s">
        <v>64</v>
      </c>
      <c r="T14" s="37" t="s">
        <v>627</v>
      </c>
      <c r="U14" s="40">
        <f>AVERAGE(13, 12)</f>
        <v>12.5</v>
      </c>
      <c r="V14" s="37" t="s">
        <v>628</v>
      </c>
      <c r="W14" s="40">
        <f>1/Y14*LN((AE14-AF14)/(AE14-AJ14))</f>
        <v>2.4282917379214743</v>
      </c>
      <c r="X14" s="37" t="s">
        <v>629</v>
      </c>
      <c r="Y14" s="39">
        <v>0.29199999999999998</v>
      </c>
      <c r="Z14" s="40">
        <v>158.1</v>
      </c>
      <c r="AA14" s="40">
        <v>-0.75</v>
      </c>
      <c r="AB14" s="40">
        <f t="shared" si="2"/>
        <v>31.094836359911646</v>
      </c>
      <c r="AC14" s="27" t="s">
        <v>50</v>
      </c>
      <c r="AD14" s="27" t="s">
        <v>628</v>
      </c>
      <c r="AE14" s="40">
        <f>1.1*Z14</f>
        <v>173.91</v>
      </c>
      <c r="AF14" s="42">
        <f>1.1*AB14</f>
        <v>34.204319995902814</v>
      </c>
      <c r="AG14" s="40">
        <f>AVERAGE(88.2, 103)</f>
        <v>95.6</v>
      </c>
      <c r="AH14" s="27" t="s">
        <v>50</v>
      </c>
      <c r="AI14" s="27" t="s">
        <v>928</v>
      </c>
      <c r="AJ14" s="42">
        <f>1.1*AG14</f>
        <v>105.16</v>
      </c>
      <c r="AK14" s="27" t="s">
        <v>631</v>
      </c>
      <c r="AL14" s="37" t="s">
        <v>895</v>
      </c>
      <c r="AM14" s="43">
        <f>2.6696*10^-5</f>
        <v>2.6696000000000003E-5</v>
      </c>
      <c r="AN14" s="39">
        <v>2.948</v>
      </c>
      <c r="AO14" s="27" t="s">
        <v>50</v>
      </c>
      <c r="AP14" s="27" t="s">
        <v>35</v>
      </c>
      <c r="AQ14" s="27" t="s">
        <v>926</v>
      </c>
      <c r="AR14" s="37" t="s">
        <v>929</v>
      </c>
      <c r="AS14" s="37"/>
    </row>
    <row r="15" spans="1:45" x14ac:dyDescent="0.3">
      <c r="A15" s="27" t="s">
        <v>143</v>
      </c>
      <c r="B15" s="27" t="s">
        <v>228</v>
      </c>
      <c r="C15" s="27" t="s">
        <v>620</v>
      </c>
      <c r="D15" s="27" t="s">
        <v>621</v>
      </c>
      <c r="E15" s="27" t="s">
        <v>626</v>
      </c>
      <c r="F15" s="27" t="str">
        <f t="shared" si="4"/>
        <v>Thunnus obesus</v>
      </c>
      <c r="G15" s="37" t="s">
        <v>921</v>
      </c>
      <c r="H15" s="38" t="s">
        <v>909</v>
      </c>
      <c r="I15" s="39">
        <v>0.50700000000000001</v>
      </c>
      <c r="J15" s="27">
        <v>1</v>
      </c>
      <c r="K15" s="27">
        <v>2</v>
      </c>
      <c r="L15" s="40">
        <f t="shared" si="5"/>
        <v>63.25653988743457</v>
      </c>
      <c r="M15" s="40">
        <f t="shared" si="6"/>
        <v>87.273888145092016</v>
      </c>
      <c r="N15" s="40">
        <f t="shared" si="3"/>
        <v>75.265214016263286</v>
      </c>
      <c r="O15" s="27" t="s">
        <v>50</v>
      </c>
      <c r="P15" s="40">
        <f>1.1*N15</f>
        <v>82.791735417889626</v>
      </c>
      <c r="Q15" s="40">
        <f>AM15*N15^AN15*1000</f>
        <v>9091.722940641228</v>
      </c>
      <c r="R15" s="27" t="s">
        <v>32</v>
      </c>
      <c r="S15" s="27" t="s">
        <v>64</v>
      </c>
      <c r="T15" s="37" t="s">
        <v>627</v>
      </c>
      <c r="U15" s="40">
        <f>AVERAGE(13, 12)</f>
        <v>12.5</v>
      </c>
      <c r="V15" s="37" t="s">
        <v>628</v>
      </c>
      <c r="W15" s="40">
        <f>1/Y15*LN((AE15-AF15)/(AE15-AJ15))</f>
        <v>2.4282917379214743</v>
      </c>
      <c r="X15" s="37" t="s">
        <v>629</v>
      </c>
      <c r="Y15" s="39">
        <v>0.29199999999999998</v>
      </c>
      <c r="Z15" s="40">
        <v>158.1</v>
      </c>
      <c r="AA15" s="40">
        <v>-0.75</v>
      </c>
      <c r="AB15" s="40">
        <f t="shared" si="2"/>
        <v>31.094836359911646</v>
      </c>
      <c r="AC15" s="27" t="s">
        <v>50</v>
      </c>
      <c r="AD15" s="27" t="s">
        <v>628</v>
      </c>
      <c r="AE15" s="40">
        <f>1.1*Z15</f>
        <v>173.91</v>
      </c>
      <c r="AF15" s="42">
        <f>1.1*AB15</f>
        <v>34.204319995902814</v>
      </c>
      <c r="AG15" s="40">
        <f>AVERAGE(88.2, 103)</f>
        <v>95.6</v>
      </c>
      <c r="AH15" s="27" t="s">
        <v>50</v>
      </c>
      <c r="AI15" s="27" t="s">
        <v>928</v>
      </c>
      <c r="AJ15" s="42">
        <f>1.1*AG15</f>
        <v>105.16</v>
      </c>
      <c r="AK15" s="27" t="s">
        <v>631</v>
      </c>
      <c r="AL15" s="37" t="s">
        <v>895</v>
      </c>
      <c r="AM15" s="43">
        <f>2.6696*10^-5</f>
        <v>2.6696000000000003E-5</v>
      </c>
      <c r="AN15" s="39">
        <v>2.948</v>
      </c>
      <c r="AO15" s="27" t="s">
        <v>50</v>
      </c>
      <c r="AP15" s="27" t="s">
        <v>35</v>
      </c>
      <c r="AQ15" s="27" t="s">
        <v>926</v>
      </c>
      <c r="AR15" s="37" t="s">
        <v>929</v>
      </c>
      <c r="AS15" s="37"/>
    </row>
    <row r="16" spans="1:45" x14ac:dyDescent="0.3">
      <c r="A16" s="27" t="s">
        <v>143</v>
      </c>
      <c r="B16" s="27" t="s">
        <v>228</v>
      </c>
      <c r="C16" s="27" t="s">
        <v>620</v>
      </c>
      <c r="D16" s="27" t="s">
        <v>621</v>
      </c>
      <c r="E16" s="27" t="s">
        <v>930</v>
      </c>
      <c r="F16" s="27" t="str">
        <f t="shared" si="4"/>
        <v>Thunnus orientalis</v>
      </c>
      <c r="G16" s="37" t="s">
        <v>931</v>
      </c>
      <c r="H16" s="38" t="s">
        <v>932</v>
      </c>
      <c r="I16" s="39">
        <v>1.6</v>
      </c>
      <c r="J16" s="27">
        <v>0</v>
      </c>
      <c r="K16" s="27">
        <v>1</v>
      </c>
      <c r="L16" s="40">
        <f t="shared" si="5"/>
        <v>19.048274123268698</v>
      </c>
      <c r="M16" s="40">
        <f t="shared" si="6"/>
        <v>58.615778298470303</v>
      </c>
      <c r="N16" s="40">
        <f t="shared" si="3"/>
        <v>38.8320262108695</v>
      </c>
      <c r="O16" s="27" t="s">
        <v>50</v>
      </c>
      <c r="P16" s="40">
        <f>N16/0.92</f>
        <v>42.208724142249459</v>
      </c>
      <c r="Q16" s="40">
        <f>AM16*(N16*10)^AN16</f>
        <v>861.18638581699724</v>
      </c>
      <c r="R16" s="27" t="s">
        <v>32</v>
      </c>
      <c r="S16" s="27" t="s">
        <v>64</v>
      </c>
      <c r="T16" s="37" t="s">
        <v>933</v>
      </c>
      <c r="U16" s="40">
        <v>20</v>
      </c>
      <c r="V16" s="37" t="s">
        <v>933</v>
      </c>
      <c r="W16" s="40">
        <v>4</v>
      </c>
      <c r="X16" s="37" t="s">
        <v>933</v>
      </c>
      <c r="Y16" s="39">
        <v>0.188</v>
      </c>
      <c r="Z16" s="40">
        <v>249.917</v>
      </c>
      <c r="AA16" s="40">
        <v>-0.42170000000000002</v>
      </c>
      <c r="AB16" s="40">
        <f t="shared" si="2"/>
        <v>19.048274123268708</v>
      </c>
      <c r="AC16" s="27" t="s">
        <v>50</v>
      </c>
      <c r="AD16" s="27" t="s">
        <v>933</v>
      </c>
      <c r="AE16" s="40">
        <f>Z16/0.92</f>
        <v>271.64891304347827</v>
      </c>
      <c r="AF16" s="42">
        <f>AB16/0.92</f>
        <v>20.704645786161638</v>
      </c>
      <c r="AG16" s="40">
        <f>Z16-(Z16-AB16)*EXP(-Y16*W16)</f>
        <v>141.08022718625952</v>
      </c>
      <c r="AH16" s="27" t="s">
        <v>50</v>
      </c>
      <c r="AI16" s="27" t="s">
        <v>641</v>
      </c>
      <c r="AJ16" s="42">
        <f>AG16/0.92</f>
        <v>153.34807302854296</v>
      </c>
      <c r="AK16" s="27" t="s">
        <v>934</v>
      </c>
      <c r="AL16" s="37" t="s">
        <v>895</v>
      </c>
      <c r="AM16" s="43">
        <f>1.17117*10^-5</f>
        <v>1.1711700000000002E-5</v>
      </c>
      <c r="AN16" s="39">
        <v>3.0381999999999998</v>
      </c>
      <c r="AO16" s="27" t="s">
        <v>50</v>
      </c>
      <c r="AP16" s="27" t="s">
        <v>35</v>
      </c>
      <c r="AQ16" s="27" t="s">
        <v>926</v>
      </c>
      <c r="AR16" s="37" t="s">
        <v>933</v>
      </c>
      <c r="AS16" s="37"/>
    </row>
    <row r="17" spans="1:45" x14ac:dyDescent="0.3">
      <c r="A17" s="27" t="s">
        <v>143</v>
      </c>
      <c r="B17" s="27" t="s">
        <v>228</v>
      </c>
      <c r="C17" s="27" t="s">
        <v>620</v>
      </c>
      <c r="D17" s="27" t="s">
        <v>621</v>
      </c>
      <c r="E17" s="27" t="s">
        <v>930</v>
      </c>
      <c r="F17" s="27" t="str">
        <f t="shared" si="4"/>
        <v>Thunnus orientalis</v>
      </c>
      <c r="G17" s="37" t="s">
        <v>931</v>
      </c>
      <c r="H17" s="38" t="s">
        <v>932</v>
      </c>
      <c r="I17" s="39">
        <v>0.22</v>
      </c>
      <c r="J17" s="27">
        <v>1</v>
      </c>
      <c r="K17" s="27">
        <v>2</v>
      </c>
      <c r="L17" s="40">
        <f t="shared" si="5"/>
        <v>48.677826513353978</v>
      </c>
      <c r="M17" s="40">
        <f t="shared" si="6"/>
        <v>80.596802224044978</v>
      </c>
      <c r="N17" s="40">
        <f t="shared" si="3"/>
        <v>64.637314368699478</v>
      </c>
      <c r="O17" s="27" t="s">
        <v>50</v>
      </c>
      <c r="P17" s="40">
        <f>N17/0.92</f>
        <v>70.257950400760294</v>
      </c>
      <c r="Q17" s="40">
        <f>AM17*N17^AN17*1000</f>
        <v>3708.7735073629751</v>
      </c>
      <c r="R17" s="27" t="s">
        <v>32</v>
      </c>
      <c r="S17" s="27" t="s">
        <v>64</v>
      </c>
      <c r="T17" s="37" t="s">
        <v>935</v>
      </c>
      <c r="U17" s="40">
        <v>26</v>
      </c>
      <c r="V17" s="37" t="s">
        <v>936</v>
      </c>
      <c r="W17" s="40">
        <v>4</v>
      </c>
      <c r="X17" s="37" t="s">
        <v>933</v>
      </c>
      <c r="Y17" s="39">
        <v>0.17299999999999999</v>
      </c>
      <c r="Z17" s="40">
        <v>249.6</v>
      </c>
      <c r="AA17" s="40">
        <v>-0.254</v>
      </c>
      <c r="AB17" s="40">
        <f t="shared" si="2"/>
        <v>10.730438181912946</v>
      </c>
      <c r="AC17" s="27" t="s">
        <v>50</v>
      </c>
      <c r="AD17" s="27" t="s">
        <v>936</v>
      </c>
      <c r="AE17" s="40">
        <f>Z17/0.92</f>
        <v>271.30434782608694</v>
      </c>
      <c r="AF17" s="42">
        <f>AB17/0.92</f>
        <v>11.663519762948853</v>
      </c>
      <c r="AG17" s="40">
        <f>Z17-(Z17-AB17)*EXP(-Y17*W17)</f>
        <v>130.02812721258204</v>
      </c>
      <c r="AH17" s="27" t="s">
        <v>50</v>
      </c>
      <c r="AI17" s="27" t="s">
        <v>641</v>
      </c>
      <c r="AJ17" s="42">
        <f>AG17/0.92</f>
        <v>141.33492088324132</v>
      </c>
      <c r="AK17" s="27" t="s">
        <v>934</v>
      </c>
      <c r="AL17" s="37" t="s">
        <v>895</v>
      </c>
      <c r="AM17" s="43">
        <f>1.17117*10^-5</f>
        <v>1.1711700000000002E-5</v>
      </c>
      <c r="AN17" s="39">
        <v>3.0381999999999998</v>
      </c>
      <c r="AO17" s="27" t="s">
        <v>50</v>
      </c>
      <c r="AP17" s="27" t="s">
        <v>35</v>
      </c>
      <c r="AQ17" s="27" t="s">
        <v>926</v>
      </c>
      <c r="AR17" s="37" t="s">
        <v>933</v>
      </c>
      <c r="AS17" s="37"/>
    </row>
    <row r="18" spans="1:45" x14ac:dyDescent="0.3">
      <c r="A18" s="27" t="s">
        <v>143</v>
      </c>
      <c r="B18" s="27" t="s">
        <v>228</v>
      </c>
      <c r="C18" s="27" t="s">
        <v>620</v>
      </c>
      <c r="D18" s="27" t="s">
        <v>621</v>
      </c>
      <c r="E18" s="27" t="s">
        <v>930</v>
      </c>
      <c r="F18" s="27" t="str">
        <f t="shared" si="4"/>
        <v>Thunnus orientalis</v>
      </c>
      <c r="G18" s="37" t="s">
        <v>931</v>
      </c>
      <c r="H18" s="38" t="s">
        <v>932</v>
      </c>
      <c r="I18" s="39">
        <v>0.13</v>
      </c>
      <c r="J18" s="27">
        <v>3</v>
      </c>
      <c r="K18" s="27">
        <v>4</v>
      </c>
      <c r="L18" s="40">
        <f t="shared" si="5"/>
        <v>107.44505332161904</v>
      </c>
      <c r="M18" s="40">
        <f t="shared" si="6"/>
        <v>130.02812721258204</v>
      </c>
      <c r="N18" s="40">
        <f t="shared" si="3"/>
        <v>118.73659026710054</v>
      </c>
      <c r="O18" s="27" t="s">
        <v>50</v>
      </c>
      <c r="P18" s="40">
        <f>N18/0.92</f>
        <v>129.06151115989189</v>
      </c>
      <c r="Q18" s="40">
        <f>AM18*N18^AN18*1000</f>
        <v>23530.046726512206</v>
      </c>
      <c r="R18" s="27" t="s">
        <v>32</v>
      </c>
      <c r="S18" s="27" t="s">
        <v>64</v>
      </c>
      <c r="T18" s="37" t="s">
        <v>935</v>
      </c>
      <c r="U18" s="40">
        <v>26</v>
      </c>
      <c r="V18" s="37" t="s">
        <v>936</v>
      </c>
      <c r="W18" s="40">
        <v>4</v>
      </c>
      <c r="X18" s="37" t="s">
        <v>933</v>
      </c>
      <c r="Y18" s="39">
        <v>0.17299999999999999</v>
      </c>
      <c r="Z18" s="40">
        <v>249.6</v>
      </c>
      <c r="AA18" s="40">
        <v>-0.254</v>
      </c>
      <c r="AB18" s="40">
        <f t="shared" si="2"/>
        <v>10.730438181912946</v>
      </c>
      <c r="AC18" s="27" t="s">
        <v>50</v>
      </c>
      <c r="AD18" s="27" t="s">
        <v>936</v>
      </c>
      <c r="AE18" s="40">
        <f>Z18/0.92</f>
        <v>271.30434782608694</v>
      </c>
      <c r="AF18" s="42">
        <f>AB18/0.92</f>
        <v>11.663519762948853</v>
      </c>
      <c r="AG18" s="40">
        <f>Z18-(Z18-AB18)*EXP(-Y18*W18)</f>
        <v>130.02812721258204</v>
      </c>
      <c r="AH18" s="27" t="s">
        <v>50</v>
      </c>
      <c r="AI18" s="27" t="s">
        <v>641</v>
      </c>
      <c r="AJ18" s="42">
        <f>AG18/0.92</f>
        <v>141.33492088324132</v>
      </c>
      <c r="AK18" s="27" t="s">
        <v>934</v>
      </c>
      <c r="AL18" s="37" t="s">
        <v>895</v>
      </c>
      <c r="AM18" s="43">
        <f>1.17117*10^-5</f>
        <v>1.1711700000000002E-5</v>
      </c>
      <c r="AN18" s="39">
        <v>3.0381999999999998</v>
      </c>
      <c r="AO18" s="27" t="s">
        <v>50</v>
      </c>
      <c r="AP18" s="27" t="s">
        <v>35</v>
      </c>
      <c r="AQ18" s="27" t="s">
        <v>926</v>
      </c>
      <c r="AR18" s="37" t="s">
        <v>933</v>
      </c>
      <c r="AS18" s="37"/>
    </row>
    <row r="19" spans="1:45" s="44" customFormat="1" x14ac:dyDescent="0.3">
      <c r="A19" s="44" t="s">
        <v>41</v>
      </c>
      <c r="B19" s="44" t="s">
        <v>42</v>
      </c>
      <c r="C19" s="44" t="s">
        <v>43</v>
      </c>
      <c r="D19" s="44" t="s">
        <v>44</v>
      </c>
      <c r="E19" s="44" t="s">
        <v>937</v>
      </c>
      <c r="F19" s="44" t="str">
        <f t="shared" si="4"/>
        <v>Carcharhinus leucas</v>
      </c>
      <c r="G19" s="3" t="s">
        <v>938</v>
      </c>
      <c r="H19" s="45" t="s">
        <v>939</v>
      </c>
      <c r="I19" s="46">
        <v>0.28999999999999998</v>
      </c>
      <c r="J19" s="44">
        <v>0</v>
      </c>
      <c r="K19" s="44">
        <v>1</v>
      </c>
      <c r="L19" s="47">
        <f t="shared" si="5"/>
        <v>56.5</v>
      </c>
      <c r="M19" s="47">
        <f t="shared" si="6"/>
        <v>71.182326204292991</v>
      </c>
      <c r="N19" s="47">
        <f t="shared" si="3"/>
        <v>63.841163102146496</v>
      </c>
      <c r="O19" s="44" t="s">
        <v>50</v>
      </c>
      <c r="P19" s="47">
        <f>1.21*N19 + 13.85</f>
        <v>91.097807353597247</v>
      </c>
      <c r="Q19" s="47">
        <f>AM19*(1.21*N19+ 13.85)^AN19*1000</f>
        <v>5051.2009668864866</v>
      </c>
      <c r="R19" s="44" t="s">
        <v>32</v>
      </c>
      <c r="S19" s="44" t="s">
        <v>64</v>
      </c>
      <c r="T19" s="3" t="s">
        <v>940</v>
      </c>
      <c r="U19" s="47">
        <f>AVERAGE(29, 25)</f>
        <v>27</v>
      </c>
      <c r="V19" s="3" t="s">
        <v>941</v>
      </c>
      <c r="W19" s="47">
        <f>1/Y19*LN((AE19-AF19)/(AE19-AJ19))</f>
        <v>12.137369697177304</v>
      </c>
      <c r="X19" s="3" t="s">
        <v>629</v>
      </c>
      <c r="Y19" s="46">
        <v>8.8999999999999996E-2</v>
      </c>
      <c r="Z19" s="47">
        <v>228.92</v>
      </c>
      <c r="AA19" s="47">
        <f>1/Y19*LN((Z19-AB19)/(Z19-0))</f>
        <v>-3.1847105253834007</v>
      </c>
      <c r="AB19" s="47">
        <f>565/10</f>
        <v>56.5</v>
      </c>
      <c r="AC19" s="44" t="s">
        <v>50</v>
      </c>
      <c r="AD19" s="44" t="s">
        <v>941</v>
      </c>
      <c r="AE19" s="47">
        <f>1.21*Z19+13.84</f>
        <v>290.83319999999998</v>
      </c>
      <c r="AF19" s="8">
        <f>1.21*AB19+13.84</f>
        <v>82.204999999999998</v>
      </c>
      <c r="AG19" s="47">
        <f>AVERAGE(215, 225)</f>
        <v>220</v>
      </c>
      <c r="AH19" s="44" t="s">
        <v>36</v>
      </c>
      <c r="AI19" s="44" t="s">
        <v>942</v>
      </c>
      <c r="AJ19" s="8">
        <f>AG19</f>
        <v>220</v>
      </c>
      <c r="AK19" s="44" t="s">
        <v>943</v>
      </c>
      <c r="AL19" s="3" t="s">
        <v>941</v>
      </c>
      <c r="AM19" s="48">
        <f>2.71*10^-6</f>
        <v>2.7099999999999999E-6</v>
      </c>
      <c r="AN19" s="46">
        <v>3.2</v>
      </c>
      <c r="AO19" s="44" t="s">
        <v>36</v>
      </c>
      <c r="AP19" s="44" t="s">
        <v>35</v>
      </c>
      <c r="AQ19" s="44" t="s">
        <v>926</v>
      </c>
      <c r="AR19" s="3" t="s">
        <v>942</v>
      </c>
      <c r="AS19" s="3"/>
    </row>
    <row r="20" spans="1:45" s="49" customFormat="1" x14ac:dyDescent="0.3">
      <c r="A20" s="49" t="s">
        <v>41</v>
      </c>
      <c r="B20" s="49" t="s">
        <v>42</v>
      </c>
      <c r="C20" s="49" t="s">
        <v>43</v>
      </c>
      <c r="D20" s="49" t="s">
        <v>944</v>
      </c>
      <c r="E20" s="49" t="s">
        <v>945</v>
      </c>
      <c r="F20" s="49" t="str">
        <f t="shared" si="4"/>
        <v>Negaprion brevirostris</v>
      </c>
      <c r="G20" s="50" t="s">
        <v>946</v>
      </c>
      <c r="H20" s="51" t="s">
        <v>947</v>
      </c>
      <c r="I20" s="52">
        <v>0.62</v>
      </c>
      <c r="J20" s="49" t="s">
        <v>884</v>
      </c>
      <c r="K20" s="49" t="s">
        <v>884</v>
      </c>
      <c r="L20" s="53">
        <v>49</v>
      </c>
      <c r="M20" s="53">
        <v>66</v>
      </c>
      <c r="N20" s="53">
        <f t="shared" si="3"/>
        <v>57.5</v>
      </c>
      <c r="O20" s="49" t="s">
        <v>36</v>
      </c>
      <c r="P20" s="53">
        <f>N20</f>
        <v>57.5</v>
      </c>
      <c r="Q20" s="53">
        <f>AM20*N20^AN20</f>
        <v>1480.8094894820795</v>
      </c>
      <c r="R20" s="49" t="s">
        <v>32</v>
      </c>
      <c r="S20" s="49" t="s">
        <v>64</v>
      </c>
      <c r="T20" s="50" t="s">
        <v>948</v>
      </c>
      <c r="U20" s="53">
        <f>AVERAGE(37, 20.2)</f>
        <v>28.6</v>
      </c>
      <c r="V20" s="50" t="s">
        <v>949</v>
      </c>
      <c r="W20" s="53">
        <f>AVERAGE(12.7, 11.6)</f>
        <v>12.149999999999999</v>
      </c>
      <c r="X20" s="50" t="s">
        <v>950</v>
      </c>
      <c r="Y20" s="52">
        <v>5.7000000000000002E-2</v>
      </c>
      <c r="Z20" s="53">
        <v>317.64999999999998</v>
      </c>
      <c r="AA20" s="53">
        <v>-2.302</v>
      </c>
      <c r="AB20" s="53">
        <f>Z20*(1-EXP(Y20*AA20))</f>
        <v>39.061398305024603</v>
      </c>
      <c r="AC20" s="49" t="s">
        <v>951</v>
      </c>
      <c r="AD20" s="49" t="s">
        <v>950</v>
      </c>
      <c r="AE20" s="53">
        <f>1.2527*Z20+0.5945</f>
        <v>398.51465499999995</v>
      </c>
      <c r="AF20" s="54">
        <f>1.2527*AB20+0.5945</f>
        <v>49.526713656704317</v>
      </c>
      <c r="AG20" s="53">
        <f>AVERAGE(225, 240)</f>
        <v>232.5</v>
      </c>
      <c r="AH20" s="49" t="s">
        <v>36</v>
      </c>
      <c r="AI20" s="49" t="s">
        <v>950</v>
      </c>
      <c r="AJ20" s="54">
        <f>AG20</f>
        <v>232.5</v>
      </c>
      <c r="AK20" s="49" t="s">
        <v>952</v>
      </c>
      <c r="AL20" s="50" t="s">
        <v>953</v>
      </c>
      <c r="AM20" s="55">
        <v>4.79E-3</v>
      </c>
      <c r="AN20" s="52">
        <v>3.12</v>
      </c>
      <c r="AO20" s="49" t="s">
        <v>36</v>
      </c>
      <c r="AP20" s="49" t="s">
        <v>35</v>
      </c>
      <c r="AQ20" s="49" t="s">
        <v>885</v>
      </c>
      <c r="AR20" s="50" t="s">
        <v>895</v>
      </c>
      <c r="AS20" s="50"/>
    </row>
    <row r="21" spans="1:45" s="44" customFormat="1" x14ac:dyDescent="0.3">
      <c r="I21" s="46"/>
      <c r="L21" s="47"/>
      <c r="M21" s="47"/>
      <c r="N21" s="47"/>
      <c r="P21" s="47"/>
      <c r="Q21" s="47"/>
      <c r="U21" s="47"/>
      <c r="W21" s="47"/>
      <c r="Y21" s="46"/>
      <c r="Z21" s="46"/>
      <c r="AA21" s="47"/>
      <c r="AB21" s="47"/>
      <c r="AE21" s="47"/>
      <c r="AF21" s="47"/>
      <c r="AG21" s="47"/>
      <c r="AJ21" s="47"/>
      <c r="AM21" s="48"/>
      <c r="AN21" s="46"/>
    </row>
  </sheetData>
  <mergeCells count="8">
    <mergeCell ref="AK1:AL1"/>
    <mergeCell ref="AM1:AR1"/>
    <mergeCell ref="A1:G1"/>
    <mergeCell ref="H1:T1"/>
    <mergeCell ref="U1:V1"/>
    <mergeCell ref="W1:X1"/>
    <mergeCell ref="Y1:AF1"/>
    <mergeCell ref="AG1:AJ1"/>
  </mergeCells>
  <pageMargins left="0.75" right="0.75" top="1" bottom="1" header="0.5" footer="0.5"/>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8"/>
  <sheetViews>
    <sheetView workbookViewId="0">
      <selection sqref="A1:XFD1048576"/>
    </sheetView>
  </sheetViews>
  <sheetFormatPr baseColWidth="10" defaultColWidth="8.77734375" defaultRowHeight="14.4" x14ac:dyDescent="0.3"/>
  <sheetData>
    <row r="1" spans="1:1" x14ac:dyDescent="0.3">
      <c r="A1" t="s">
        <v>1096</v>
      </c>
    </row>
    <row r="2" spans="1:1" x14ac:dyDescent="0.3">
      <c r="A2" t="s">
        <v>1097</v>
      </c>
    </row>
    <row r="3" spans="1:1" x14ac:dyDescent="0.3">
      <c r="A3" t="s">
        <v>1098</v>
      </c>
    </row>
    <row r="4" spans="1:1" x14ac:dyDescent="0.3">
      <c r="A4" t="s">
        <v>1099</v>
      </c>
    </row>
    <row r="5" spans="1:1" x14ac:dyDescent="0.3">
      <c r="A5" t="s">
        <v>1100</v>
      </c>
    </row>
    <row r="6" spans="1:1" x14ac:dyDescent="0.3">
      <c r="A6" t="s">
        <v>1101</v>
      </c>
    </row>
    <row r="7" spans="1:1" x14ac:dyDescent="0.3">
      <c r="A7" t="s">
        <v>1102</v>
      </c>
    </row>
    <row r="8" spans="1:1" x14ac:dyDescent="0.3">
      <c r="A8" t="s">
        <v>1103</v>
      </c>
    </row>
    <row r="9" spans="1:1" x14ac:dyDescent="0.3">
      <c r="A9" t="s">
        <v>739</v>
      </c>
    </row>
    <row r="10" spans="1:1" x14ac:dyDescent="0.3">
      <c r="A10" t="s">
        <v>558</v>
      </c>
    </row>
    <row r="11" spans="1:1" x14ac:dyDescent="0.3">
      <c r="A11" t="s">
        <v>1104</v>
      </c>
    </row>
    <row r="12" spans="1:1" x14ac:dyDescent="0.3">
      <c r="A12" t="s">
        <v>1105</v>
      </c>
    </row>
    <row r="13" spans="1:1" x14ac:dyDescent="0.3">
      <c r="A13" t="s">
        <v>1106</v>
      </c>
    </row>
    <row r="14" spans="1:1" x14ac:dyDescent="0.3">
      <c r="A14" t="s">
        <v>567</v>
      </c>
    </row>
    <row r="15" spans="1:1" x14ac:dyDescent="0.3">
      <c r="A15" t="s">
        <v>1107</v>
      </c>
    </row>
    <row r="16" spans="1:1" x14ac:dyDescent="0.3">
      <c r="A16" t="s">
        <v>1108</v>
      </c>
    </row>
    <row r="17" spans="1:1" x14ac:dyDescent="0.3">
      <c r="A17" t="s">
        <v>1109</v>
      </c>
    </row>
    <row r="18" spans="1:1" x14ac:dyDescent="0.3">
      <c r="A18" t="s">
        <v>1110</v>
      </c>
    </row>
    <row r="19" spans="1:1" x14ac:dyDescent="0.3">
      <c r="A19" t="s">
        <v>1111</v>
      </c>
    </row>
    <row r="20" spans="1:1" x14ac:dyDescent="0.3">
      <c r="A20" t="s">
        <v>1112</v>
      </c>
    </row>
    <row r="21" spans="1:1" x14ac:dyDescent="0.3">
      <c r="A21" t="s">
        <v>1113</v>
      </c>
    </row>
    <row r="22" spans="1:1" x14ac:dyDescent="0.3">
      <c r="A22" t="s">
        <v>1114</v>
      </c>
    </row>
    <row r="23" spans="1:1" x14ac:dyDescent="0.3">
      <c r="A23" t="s">
        <v>1115</v>
      </c>
    </row>
    <row r="24" spans="1:1" x14ac:dyDescent="0.3">
      <c r="A24" t="s">
        <v>1116</v>
      </c>
    </row>
    <row r="25" spans="1:1" x14ac:dyDescent="0.3">
      <c r="A25" t="s">
        <v>1117</v>
      </c>
    </row>
    <row r="26" spans="1:1" x14ac:dyDescent="0.3">
      <c r="A26" t="s">
        <v>1118</v>
      </c>
    </row>
    <row r="27" spans="1:1" x14ac:dyDescent="0.3">
      <c r="A27" t="s">
        <v>1119</v>
      </c>
    </row>
    <row r="28" spans="1:1" x14ac:dyDescent="0.3">
      <c r="A28" t="s">
        <v>1120</v>
      </c>
    </row>
    <row r="29" spans="1:1" x14ac:dyDescent="0.3">
      <c r="A29" t="s">
        <v>1121</v>
      </c>
    </row>
    <row r="30" spans="1:1" x14ac:dyDescent="0.3">
      <c r="A30" t="s">
        <v>1122</v>
      </c>
    </row>
    <row r="31" spans="1:1" x14ac:dyDescent="0.3">
      <c r="A31" t="s">
        <v>1123</v>
      </c>
    </row>
    <row r="32" spans="1:1" x14ac:dyDescent="0.3">
      <c r="A32" t="s">
        <v>1124</v>
      </c>
    </row>
    <row r="33" spans="1:1" x14ac:dyDescent="0.3">
      <c r="A33" t="s">
        <v>1125</v>
      </c>
    </row>
    <row r="34" spans="1:1" x14ac:dyDescent="0.3">
      <c r="A34" t="s">
        <v>1126</v>
      </c>
    </row>
    <row r="35" spans="1:1" x14ac:dyDescent="0.3">
      <c r="A35" t="s">
        <v>1127</v>
      </c>
    </row>
    <row r="36" spans="1:1" x14ac:dyDescent="0.3">
      <c r="A36" t="s">
        <v>1128</v>
      </c>
    </row>
    <row r="37" spans="1:1" x14ac:dyDescent="0.3">
      <c r="A37" t="s">
        <v>1129</v>
      </c>
    </row>
    <row r="38" spans="1:1" x14ac:dyDescent="0.3">
      <c r="A38" t="s">
        <v>1130</v>
      </c>
    </row>
  </sheetData>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72"/>
  <sheetViews>
    <sheetView topLeftCell="C1" workbookViewId="0">
      <selection activeCell="C4" sqref="C1:C1048576"/>
    </sheetView>
  </sheetViews>
  <sheetFormatPr baseColWidth="10" defaultRowHeight="14.4" x14ac:dyDescent="0.3"/>
  <cols>
    <col min="1" max="1" width="68" customWidth="1"/>
    <col min="2" max="2" width="166.77734375" customWidth="1"/>
    <col min="3" max="3" width="173.33203125" customWidth="1"/>
  </cols>
  <sheetData>
    <row r="1" spans="1:3" x14ac:dyDescent="0.3">
      <c r="A1" s="56" t="s">
        <v>954</v>
      </c>
      <c r="B1" s="56" t="s">
        <v>955</v>
      </c>
      <c r="C1" s="56" t="s">
        <v>956</v>
      </c>
    </row>
    <row r="2" spans="1:3" x14ac:dyDescent="0.3">
      <c r="A2" s="57" t="s">
        <v>957</v>
      </c>
      <c r="B2" s="57" t="s">
        <v>958</v>
      </c>
      <c r="C2" s="57" t="s">
        <v>959</v>
      </c>
    </row>
    <row r="3" spans="1:3" x14ac:dyDescent="0.3">
      <c r="A3" s="57" t="s">
        <v>960</v>
      </c>
      <c r="B3" s="57" t="s">
        <v>961</v>
      </c>
      <c r="C3" s="57" t="s">
        <v>962</v>
      </c>
    </row>
    <row r="4" spans="1:3" x14ac:dyDescent="0.3">
      <c r="A4" s="57" t="s">
        <v>963</v>
      </c>
      <c r="B4" s="57" t="s">
        <v>964</v>
      </c>
      <c r="C4" s="57" t="s">
        <v>965</v>
      </c>
    </row>
    <row r="5" spans="1:3" x14ac:dyDescent="0.3">
      <c r="A5" s="57" t="s">
        <v>966</v>
      </c>
      <c r="B5" s="57" t="s">
        <v>967</v>
      </c>
      <c r="C5" s="57" t="s">
        <v>968</v>
      </c>
    </row>
    <row r="6" spans="1:3" ht="16.2" x14ac:dyDescent="0.35">
      <c r="A6" s="57" t="s">
        <v>969</v>
      </c>
      <c r="B6" s="57" t="s">
        <v>970</v>
      </c>
      <c r="C6" s="57" t="s">
        <v>971</v>
      </c>
    </row>
    <row r="7" spans="1:3" x14ac:dyDescent="0.3">
      <c r="A7" s="57" t="s">
        <v>966</v>
      </c>
      <c r="B7" s="57" t="s">
        <v>972</v>
      </c>
      <c r="C7" s="57" t="s">
        <v>973</v>
      </c>
    </row>
    <row r="8" spans="1:3" x14ac:dyDescent="0.3">
      <c r="A8" s="57" t="s">
        <v>960</v>
      </c>
      <c r="B8" s="57" t="s">
        <v>974</v>
      </c>
      <c r="C8" s="57" t="s">
        <v>975</v>
      </c>
    </row>
    <row r="9" spans="1:3" x14ac:dyDescent="0.3">
      <c r="A9" s="57" t="s">
        <v>976</v>
      </c>
      <c r="B9" s="57" t="s">
        <v>977</v>
      </c>
      <c r="C9" s="57" t="s">
        <v>978</v>
      </c>
    </row>
    <row r="10" spans="1:3" x14ac:dyDescent="0.3">
      <c r="A10" s="57" t="s">
        <v>966</v>
      </c>
      <c r="B10" s="57" t="s">
        <v>979</v>
      </c>
      <c r="C10" s="57" t="s">
        <v>980</v>
      </c>
    </row>
    <row r="11" spans="1:3" x14ac:dyDescent="0.3">
      <c r="A11" s="57" t="s">
        <v>969</v>
      </c>
      <c r="B11" s="57" t="s">
        <v>981</v>
      </c>
      <c r="C11" s="57" t="s">
        <v>982</v>
      </c>
    </row>
    <row r="12" spans="1:3" x14ac:dyDescent="0.3">
      <c r="A12" s="57" t="s">
        <v>969</v>
      </c>
      <c r="B12" s="57" t="s">
        <v>983</v>
      </c>
      <c r="C12" s="57" t="s">
        <v>984</v>
      </c>
    </row>
    <row r="13" spans="1:3" x14ac:dyDescent="0.3">
      <c r="A13" s="57" t="s">
        <v>966</v>
      </c>
      <c r="B13" s="57" t="s">
        <v>985</v>
      </c>
      <c r="C13" s="57" t="s">
        <v>986</v>
      </c>
    </row>
    <row r="14" spans="1:3" x14ac:dyDescent="0.3">
      <c r="A14" s="57" t="s">
        <v>966</v>
      </c>
      <c r="B14" s="57" t="s">
        <v>985</v>
      </c>
      <c r="C14" s="57" t="s">
        <v>987</v>
      </c>
    </row>
    <row r="15" spans="1:3" x14ac:dyDescent="0.3">
      <c r="A15" s="57" t="s">
        <v>966</v>
      </c>
      <c r="B15" s="57" t="s">
        <v>988</v>
      </c>
      <c r="C15" s="57" t="s">
        <v>989</v>
      </c>
    </row>
    <row r="16" spans="1:3" x14ac:dyDescent="0.3">
      <c r="A16" s="57" t="s">
        <v>960</v>
      </c>
      <c r="B16" s="57" t="s">
        <v>990</v>
      </c>
      <c r="C16" s="57" t="s">
        <v>991</v>
      </c>
    </row>
    <row r="17" spans="1:3" x14ac:dyDescent="0.3">
      <c r="A17" s="57" t="s">
        <v>969</v>
      </c>
      <c r="B17" s="57" t="s">
        <v>992</v>
      </c>
      <c r="C17" s="57" t="s">
        <v>993</v>
      </c>
    </row>
    <row r="18" spans="1:3" x14ac:dyDescent="0.3">
      <c r="A18" s="57" t="s">
        <v>976</v>
      </c>
      <c r="B18" s="57" t="s">
        <v>994</v>
      </c>
      <c r="C18" s="57" t="s">
        <v>995</v>
      </c>
    </row>
    <row r="19" spans="1:3" x14ac:dyDescent="0.3">
      <c r="A19" s="57" t="s">
        <v>996</v>
      </c>
      <c r="B19" s="57" t="s">
        <v>997</v>
      </c>
      <c r="C19" s="57" t="s">
        <v>998</v>
      </c>
    </row>
    <row r="20" spans="1:3" x14ac:dyDescent="0.3">
      <c r="A20" s="57" t="s">
        <v>999</v>
      </c>
      <c r="B20" s="57" t="s">
        <v>1000</v>
      </c>
      <c r="C20" s="57" t="s">
        <v>1001</v>
      </c>
    </row>
    <row r="21" spans="1:3" x14ac:dyDescent="0.3">
      <c r="A21" s="57" t="s">
        <v>966</v>
      </c>
      <c r="B21" s="57" t="s">
        <v>985</v>
      </c>
      <c r="C21" s="57" t="s">
        <v>1002</v>
      </c>
    </row>
    <row r="22" spans="1:3" x14ac:dyDescent="0.3">
      <c r="A22" s="57" t="s">
        <v>976</v>
      </c>
      <c r="B22" s="57" t="s">
        <v>977</v>
      </c>
      <c r="C22" s="57" t="s">
        <v>1003</v>
      </c>
    </row>
    <row r="23" spans="1:3" x14ac:dyDescent="0.3">
      <c r="A23" s="57" t="s">
        <v>1004</v>
      </c>
      <c r="B23" s="57" t="s">
        <v>1005</v>
      </c>
      <c r="C23" s="57" t="s">
        <v>1006</v>
      </c>
    </row>
    <row r="24" spans="1:3" x14ac:dyDescent="0.3">
      <c r="A24" s="57" t="s">
        <v>969</v>
      </c>
      <c r="B24" s="57" t="s">
        <v>1007</v>
      </c>
      <c r="C24" s="57" t="s">
        <v>1008</v>
      </c>
    </row>
    <row r="25" spans="1:3" x14ac:dyDescent="0.3">
      <c r="A25" s="57" t="s">
        <v>976</v>
      </c>
      <c r="B25" s="57" t="s">
        <v>1009</v>
      </c>
      <c r="C25" s="57" t="s">
        <v>1010</v>
      </c>
    </row>
    <row r="26" spans="1:3" x14ac:dyDescent="0.3">
      <c r="A26" s="57" t="s">
        <v>960</v>
      </c>
      <c r="B26" s="57" t="s">
        <v>974</v>
      </c>
      <c r="C26" s="57" t="s">
        <v>1011</v>
      </c>
    </row>
    <row r="27" spans="1:3" x14ac:dyDescent="0.3">
      <c r="A27" s="57" t="s">
        <v>1012</v>
      </c>
      <c r="B27" s="57" t="s">
        <v>1013</v>
      </c>
      <c r="C27" s="57" t="s">
        <v>1014</v>
      </c>
    </row>
    <row r="28" spans="1:3" x14ac:dyDescent="0.3">
      <c r="A28" s="57" t="s">
        <v>1015</v>
      </c>
      <c r="B28" s="57" t="s">
        <v>1016</v>
      </c>
      <c r="C28" s="57" t="s">
        <v>1017</v>
      </c>
    </row>
    <row r="29" spans="1:3" x14ac:dyDescent="0.3">
      <c r="A29" s="57" t="s">
        <v>960</v>
      </c>
      <c r="B29" s="57" t="s">
        <v>1018</v>
      </c>
      <c r="C29" s="57" t="s">
        <v>1019</v>
      </c>
    </row>
    <row r="30" spans="1:3" x14ac:dyDescent="0.3">
      <c r="A30" s="57" t="s">
        <v>969</v>
      </c>
      <c r="B30" s="57" t="s">
        <v>1020</v>
      </c>
      <c r="C30" s="57" t="s">
        <v>1021</v>
      </c>
    </row>
    <row r="31" spans="1:3" x14ac:dyDescent="0.3">
      <c r="A31" s="57" t="s">
        <v>969</v>
      </c>
      <c r="B31" s="57" t="s">
        <v>1022</v>
      </c>
      <c r="C31" s="57" t="s">
        <v>1023</v>
      </c>
    </row>
    <row r="32" spans="1:3" x14ac:dyDescent="0.3">
      <c r="A32" s="57" t="s">
        <v>1015</v>
      </c>
      <c r="B32" s="57" t="s">
        <v>1024</v>
      </c>
      <c r="C32" s="57" t="s">
        <v>1025</v>
      </c>
    </row>
    <row r="33" spans="1:3" x14ac:dyDescent="0.3">
      <c r="A33" s="57" t="s">
        <v>1026</v>
      </c>
      <c r="B33" s="57" t="s">
        <v>1027</v>
      </c>
      <c r="C33" s="57" t="s">
        <v>1028</v>
      </c>
    </row>
    <row r="34" spans="1:3" x14ac:dyDescent="0.3">
      <c r="A34" s="57" t="s">
        <v>966</v>
      </c>
      <c r="B34" s="57" t="s">
        <v>985</v>
      </c>
      <c r="C34" s="57" t="s">
        <v>1029</v>
      </c>
    </row>
    <row r="35" spans="1:3" x14ac:dyDescent="0.3">
      <c r="A35" s="57" t="s">
        <v>960</v>
      </c>
      <c r="B35" s="57" t="s">
        <v>1030</v>
      </c>
      <c r="C35" s="57" t="s">
        <v>1031</v>
      </c>
    </row>
    <row r="36" spans="1:3" x14ac:dyDescent="0.3">
      <c r="A36" s="57" t="s">
        <v>1015</v>
      </c>
      <c r="B36" s="57" t="s">
        <v>1032</v>
      </c>
      <c r="C36" s="57" t="s">
        <v>1033</v>
      </c>
    </row>
    <row r="37" spans="1:3" x14ac:dyDescent="0.3">
      <c r="A37" s="57" t="s">
        <v>969</v>
      </c>
      <c r="B37" s="57" t="s">
        <v>1034</v>
      </c>
      <c r="C37" s="57" t="s">
        <v>1035</v>
      </c>
    </row>
    <row r="38" spans="1:3" x14ac:dyDescent="0.3">
      <c r="A38" s="57" t="s">
        <v>960</v>
      </c>
      <c r="B38" s="57" t="s">
        <v>1036</v>
      </c>
      <c r="C38" s="57" t="s">
        <v>1037</v>
      </c>
    </row>
    <row r="39" spans="1:3" x14ac:dyDescent="0.3">
      <c r="A39" s="57" t="s">
        <v>960</v>
      </c>
      <c r="B39" s="57" t="s">
        <v>1030</v>
      </c>
      <c r="C39" s="57" t="s">
        <v>1038</v>
      </c>
    </row>
    <row r="40" spans="1:3" x14ac:dyDescent="0.3">
      <c r="A40" s="57" t="s">
        <v>966</v>
      </c>
      <c r="B40" s="57" t="s">
        <v>985</v>
      </c>
      <c r="C40" s="57" t="s">
        <v>1039</v>
      </c>
    </row>
    <row r="41" spans="1:3" x14ac:dyDescent="0.3">
      <c r="A41" s="57" t="s">
        <v>969</v>
      </c>
      <c r="B41" s="57" t="s">
        <v>1040</v>
      </c>
      <c r="C41" s="57" t="s">
        <v>783</v>
      </c>
    </row>
    <row r="42" spans="1:3" x14ac:dyDescent="0.3">
      <c r="A42" s="57" t="s">
        <v>969</v>
      </c>
      <c r="B42" s="57" t="s">
        <v>1041</v>
      </c>
      <c r="C42" s="57" t="s">
        <v>1042</v>
      </c>
    </row>
    <row r="43" spans="1:3" x14ac:dyDescent="0.3">
      <c r="A43" s="57" t="s">
        <v>1015</v>
      </c>
      <c r="B43" s="57" t="s">
        <v>1043</v>
      </c>
      <c r="C43" s="57" t="s">
        <v>1044</v>
      </c>
    </row>
    <row r="44" spans="1:3" x14ac:dyDescent="0.3">
      <c r="A44" s="57" t="s">
        <v>960</v>
      </c>
      <c r="B44" s="57" t="s">
        <v>1018</v>
      </c>
      <c r="C44" s="57" t="s">
        <v>1045</v>
      </c>
    </row>
    <row r="45" spans="1:3" x14ac:dyDescent="0.3">
      <c r="A45" s="57" t="s">
        <v>996</v>
      </c>
      <c r="B45" s="57" t="s">
        <v>1046</v>
      </c>
      <c r="C45" s="57" t="s">
        <v>1047</v>
      </c>
    </row>
    <row r="46" spans="1:3" x14ac:dyDescent="0.3">
      <c r="A46" s="57" t="s">
        <v>960</v>
      </c>
      <c r="B46" s="57" t="s">
        <v>1048</v>
      </c>
      <c r="C46" s="57" t="s">
        <v>1049</v>
      </c>
    </row>
    <row r="47" spans="1:3" x14ac:dyDescent="0.3">
      <c r="A47" s="57" t="s">
        <v>996</v>
      </c>
      <c r="B47" s="57" t="s">
        <v>1050</v>
      </c>
      <c r="C47" s="57" t="s">
        <v>1051</v>
      </c>
    </row>
    <row r="48" spans="1:3" x14ac:dyDescent="0.3">
      <c r="A48" s="57" t="s">
        <v>957</v>
      </c>
      <c r="B48" s="57" t="s">
        <v>1052</v>
      </c>
      <c r="C48" s="57" t="s">
        <v>1053</v>
      </c>
    </row>
    <row r="49" spans="1:3" x14ac:dyDescent="0.3">
      <c r="A49" s="57" t="s">
        <v>966</v>
      </c>
      <c r="B49" s="57" t="s">
        <v>966</v>
      </c>
      <c r="C49" s="57" t="s">
        <v>1054</v>
      </c>
    </row>
    <row r="50" spans="1:3" x14ac:dyDescent="0.3">
      <c r="A50" s="57" t="s">
        <v>969</v>
      </c>
      <c r="B50" s="57" t="s">
        <v>1055</v>
      </c>
      <c r="C50" s="57" t="s">
        <v>1056</v>
      </c>
    </row>
    <row r="51" spans="1:3" x14ac:dyDescent="0.3">
      <c r="A51" s="57" t="s">
        <v>996</v>
      </c>
      <c r="B51" s="57" t="s">
        <v>1057</v>
      </c>
      <c r="C51" s="57" t="s">
        <v>1058</v>
      </c>
    </row>
    <row r="52" spans="1:3" x14ac:dyDescent="0.3">
      <c r="A52" s="57" t="s">
        <v>966</v>
      </c>
      <c r="B52" s="57" t="s">
        <v>985</v>
      </c>
      <c r="C52" s="57" t="s">
        <v>1059</v>
      </c>
    </row>
    <row r="53" spans="1:3" x14ac:dyDescent="0.3">
      <c r="A53" s="57" t="s">
        <v>966</v>
      </c>
      <c r="B53" s="57" t="s">
        <v>985</v>
      </c>
      <c r="C53" s="57" t="s">
        <v>1060</v>
      </c>
    </row>
    <row r="54" spans="1:3" x14ac:dyDescent="0.3">
      <c r="A54" s="57" t="s">
        <v>966</v>
      </c>
      <c r="B54" s="57" t="s">
        <v>985</v>
      </c>
      <c r="C54" s="57" t="s">
        <v>1061</v>
      </c>
    </row>
    <row r="55" spans="1:3" x14ac:dyDescent="0.3">
      <c r="A55" s="57" t="s">
        <v>960</v>
      </c>
      <c r="B55" s="57" t="s">
        <v>1018</v>
      </c>
      <c r="C55" s="57" t="s">
        <v>1062</v>
      </c>
    </row>
    <row r="56" spans="1:3" x14ac:dyDescent="0.3">
      <c r="A56" s="57" t="s">
        <v>1015</v>
      </c>
      <c r="B56" s="57" t="s">
        <v>1063</v>
      </c>
      <c r="C56" s="57" t="s">
        <v>1064</v>
      </c>
    </row>
    <row r="57" spans="1:3" x14ac:dyDescent="0.3">
      <c r="A57" s="57" t="s">
        <v>996</v>
      </c>
      <c r="B57" s="57" t="s">
        <v>1065</v>
      </c>
      <c r="C57" s="57" t="s">
        <v>1066</v>
      </c>
    </row>
    <row r="58" spans="1:3" x14ac:dyDescent="0.3">
      <c r="A58" s="57" t="s">
        <v>969</v>
      </c>
      <c r="B58" s="57" t="s">
        <v>1067</v>
      </c>
      <c r="C58" s="57" t="s">
        <v>1068</v>
      </c>
    </row>
    <row r="59" spans="1:3" x14ac:dyDescent="0.3">
      <c r="A59" s="57" t="s">
        <v>969</v>
      </c>
      <c r="B59" s="57" t="s">
        <v>1069</v>
      </c>
      <c r="C59" s="57" t="s">
        <v>1070</v>
      </c>
    </row>
    <row r="60" spans="1:3" x14ac:dyDescent="0.3">
      <c r="A60" s="57" t="s">
        <v>960</v>
      </c>
      <c r="B60" s="57" t="s">
        <v>1071</v>
      </c>
      <c r="C60" s="57" t="s">
        <v>1072</v>
      </c>
    </row>
    <row r="61" spans="1:3" x14ac:dyDescent="0.3">
      <c r="A61" s="57" t="s">
        <v>960</v>
      </c>
      <c r="B61" s="57" t="s">
        <v>1073</v>
      </c>
      <c r="C61" s="57" t="s">
        <v>1074</v>
      </c>
    </row>
    <row r="62" spans="1:3" x14ac:dyDescent="0.3">
      <c r="A62" s="57" t="s">
        <v>1015</v>
      </c>
      <c r="B62" s="57" t="s">
        <v>1075</v>
      </c>
      <c r="C62" s="57" t="s">
        <v>1076</v>
      </c>
    </row>
    <row r="63" spans="1:3" x14ac:dyDescent="0.3">
      <c r="A63" s="57" t="s">
        <v>969</v>
      </c>
      <c r="B63" s="57" t="s">
        <v>1077</v>
      </c>
      <c r="C63" s="57" t="s">
        <v>1078</v>
      </c>
    </row>
    <row r="64" spans="1:3" x14ac:dyDescent="0.3">
      <c r="A64" s="57" t="s">
        <v>957</v>
      </c>
      <c r="B64" s="57" t="s">
        <v>957</v>
      </c>
      <c r="C64" s="57" t="s">
        <v>1079</v>
      </c>
    </row>
    <row r="65" spans="1:3" x14ac:dyDescent="0.3">
      <c r="A65" s="57" t="s">
        <v>996</v>
      </c>
      <c r="B65" s="57" t="s">
        <v>1080</v>
      </c>
      <c r="C65" s="57" t="s">
        <v>1081</v>
      </c>
    </row>
    <row r="66" spans="1:3" x14ac:dyDescent="0.3">
      <c r="A66" s="57" t="s">
        <v>966</v>
      </c>
      <c r="B66" s="57" t="s">
        <v>985</v>
      </c>
      <c r="C66" s="57" t="s">
        <v>1082</v>
      </c>
    </row>
    <row r="67" spans="1:3" x14ac:dyDescent="0.3">
      <c r="A67" s="57" t="s">
        <v>960</v>
      </c>
      <c r="B67" s="57" t="s">
        <v>1018</v>
      </c>
      <c r="C67" s="57" t="s">
        <v>1083</v>
      </c>
    </row>
    <row r="68" spans="1:3" x14ac:dyDescent="0.3">
      <c r="A68" s="57" t="s">
        <v>960</v>
      </c>
      <c r="B68" s="57" t="s">
        <v>1084</v>
      </c>
      <c r="C68" s="57" t="s">
        <v>1085</v>
      </c>
    </row>
    <row r="69" spans="1:3" x14ac:dyDescent="0.3">
      <c r="A69" s="57" t="s">
        <v>969</v>
      </c>
      <c r="B69" s="57" t="s">
        <v>1086</v>
      </c>
      <c r="C69" s="57" t="s">
        <v>1087</v>
      </c>
    </row>
    <row r="70" spans="1:3" x14ac:dyDescent="0.3">
      <c r="A70" s="57" t="s">
        <v>960</v>
      </c>
      <c r="B70" s="57" t="s">
        <v>1088</v>
      </c>
      <c r="C70" s="57" t="s">
        <v>1089</v>
      </c>
    </row>
    <row r="71" spans="1:3" x14ac:dyDescent="0.3">
      <c r="A71" s="57" t="s">
        <v>960</v>
      </c>
      <c r="B71" s="57" t="s">
        <v>1090</v>
      </c>
      <c r="C71" s="57" t="s">
        <v>1091</v>
      </c>
    </row>
    <row r="72" spans="1:3" x14ac:dyDescent="0.3">
      <c r="A72" s="57" t="s">
        <v>969</v>
      </c>
      <c r="B72" s="57" t="s">
        <v>1092</v>
      </c>
      <c r="C72" s="57" t="s">
        <v>1093</v>
      </c>
    </row>
  </sheetData>
  <pageMargins left="0.75" right="0.75" top="1" bottom="1" header="0.5" footer="0.5"/>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Cover page</vt:lpstr>
      <vt:lpstr>Table S1</vt:lpstr>
      <vt:lpstr>Table S1 Literature Cited</vt:lpstr>
      <vt:lpstr>Table S2</vt:lpstr>
      <vt:lpstr>Table S2 Literature Cited</vt:lpstr>
      <vt:lpstr>Table S3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Dureuil</dc:creator>
  <cp:lastModifiedBy>Win10</cp:lastModifiedBy>
  <dcterms:created xsi:type="dcterms:W3CDTF">2018-12-04T00:15:50Z</dcterms:created>
  <dcterms:modified xsi:type="dcterms:W3CDTF">2021-06-08T10:39:31Z</dcterms:modified>
</cp:coreProperties>
</file>