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Production/Publication/MEPS/MEPS 703/10 M 14214 Aoki -- X/"/>
    </mc:Choice>
  </mc:AlternateContent>
  <xr:revisionPtr revIDLastSave="0" documentId="13_ncr:1_{CD0C3F72-6725-F144-AC67-A33FE097458F}" xr6:coauthVersionLast="47" xr6:coauthVersionMax="47" xr10:uidLastSave="{00000000-0000-0000-0000-000000000000}"/>
  <bookViews>
    <workbookView xWindow="23360" yWindow="2440" windowWidth="27840" windowHeight="26360" xr2:uid="{00000000-000D-0000-FFFF-FFFF00000000}"/>
  </bookViews>
  <sheets>
    <sheet name="Cover page" sheetId="3" r:id="rId1"/>
    <sheet name="Calculator" sheetId="2" r:id="rId2"/>
    <sheet name="Validations" sheetId="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C23" i="1"/>
  <c r="C26" i="2"/>
  <c r="D26" i="2"/>
  <c r="F4" i="1"/>
  <c r="C14" i="1"/>
  <c r="C17" i="2"/>
  <c r="D17" i="2"/>
  <c r="C24" i="1"/>
  <c r="C27" i="2"/>
  <c r="D27" i="2"/>
  <c r="F6" i="1"/>
  <c r="L38" i="1"/>
  <c r="H41" i="2"/>
  <c r="I41" i="2"/>
  <c r="F7" i="1"/>
  <c r="L21" i="1"/>
  <c r="H24" i="2"/>
  <c r="I24" i="2"/>
  <c r="L39" i="1"/>
  <c r="H42" i="2"/>
  <c r="I42" i="2"/>
  <c r="F2" i="1"/>
  <c r="C12" i="1"/>
  <c r="C15" i="2"/>
  <c r="D15" i="2"/>
  <c r="C21" i="1"/>
  <c r="C24" i="2"/>
  <c r="D24" i="2"/>
  <c r="L15" i="1"/>
  <c r="H18" i="2"/>
  <c r="I18" i="2"/>
  <c r="C25" i="1"/>
  <c r="C28" i="2"/>
  <c r="D28" i="2"/>
  <c r="L16" i="1"/>
  <c r="H19" i="2"/>
  <c r="I19" i="2"/>
  <c r="L18" i="1"/>
  <c r="H21" i="2"/>
  <c r="I21" i="2"/>
  <c r="L12" i="1"/>
  <c r="H15" i="2"/>
  <c r="I15" i="2"/>
  <c r="L28" i="1"/>
  <c r="H31" i="2"/>
  <c r="I31" i="2"/>
  <c r="L36" i="1"/>
  <c r="H39" i="2"/>
  <c r="I39" i="2"/>
  <c r="L14" i="1"/>
  <c r="H17" i="2"/>
  <c r="I17" i="2"/>
  <c r="L26" i="1"/>
  <c r="H29" i="2"/>
  <c r="I29" i="2"/>
  <c r="L24" i="1"/>
  <c r="H27" i="2"/>
  <c r="I27" i="2"/>
  <c r="C16" i="1"/>
  <c r="C19" i="2"/>
  <c r="D19" i="2"/>
  <c r="C27" i="1"/>
  <c r="C30" i="2"/>
  <c r="D30" i="2"/>
  <c r="C13" i="1"/>
  <c r="C16" i="2"/>
  <c r="D16" i="2"/>
  <c r="L37" i="1"/>
  <c r="H40" i="2"/>
  <c r="I40" i="2"/>
  <c r="L30" i="1"/>
  <c r="H33" i="2"/>
  <c r="I33" i="2"/>
  <c r="L22" i="1"/>
  <c r="H25" i="2"/>
  <c r="I25" i="2"/>
  <c r="L20" i="1"/>
  <c r="H23" i="2"/>
  <c r="I23" i="2"/>
  <c r="C19" i="1"/>
  <c r="C22" i="2"/>
  <c r="D22" i="2"/>
  <c r="C15" i="1"/>
  <c r="C18" i="2"/>
  <c r="D18" i="2"/>
  <c r="C18" i="1"/>
  <c r="C21" i="2"/>
  <c r="D21" i="2"/>
  <c r="C26" i="1"/>
  <c r="C29" i="2"/>
  <c r="D29" i="2"/>
  <c r="C22" i="1"/>
  <c r="C25" i="2"/>
  <c r="D25" i="2"/>
  <c r="C20" i="1"/>
  <c r="C23" i="2"/>
  <c r="D23" i="2"/>
  <c r="L23" i="1"/>
  <c r="H26" i="2"/>
  <c r="I26" i="2"/>
  <c r="L13" i="1"/>
  <c r="H16" i="2"/>
  <c r="I16" i="2"/>
  <c r="L27" i="1"/>
  <c r="H30" i="2"/>
  <c r="I30" i="2"/>
  <c r="C17" i="1"/>
  <c r="C20" i="2"/>
  <c r="D20" i="2"/>
  <c r="L19" i="1"/>
  <c r="H22" i="2"/>
  <c r="I22" i="2"/>
  <c r="L35" i="1"/>
  <c r="H38" i="2"/>
  <c r="I38" i="2"/>
  <c r="L17" i="1"/>
  <c r="H20" i="2"/>
  <c r="I20" i="2"/>
  <c r="L33" i="1"/>
  <c r="H36" i="2"/>
  <c r="I36" i="2"/>
  <c r="L32" i="1"/>
  <c r="H35" i="2"/>
  <c r="I35" i="2"/>
  <c r="L25" i="1"/>
  <c r="H28" i="2"/>
  <c r="I28" i="2"/>
  <c r="L34" i="1"/>
  <c r="H37" i="2"/>
  <c r="I37" i="2"/>
  <c r="L31" i="1"/>
  <c r="H34" i="2"/>
  <c r="I34" i="2"/>
  <c r="L29" i="1"/>
  <c r="H32" i="2"/>
  <c r="I32" i="2"/>
</calcChain>
</file>

<file path=xl/sharedStrings.xml><?xml version="1.0" encoding="utf-8"?>
<sst xmlns="http://schemas.openxmlformats.org/spreadsheetml/2006/main" count="191" uniqueCount="49">
  <si>
    <t>Species</t>
  </si>
  <si>
    <t>Jaw</t>
  </si>
  <si>
    <t>Carcarodon carcharias</t>
  </si>
  <si>
    <t>Upper</t>
  </si>
  <si>
    <t>Lower</t>
  </si>
  <si>
    <t>Isurus oxyrinchus</t>
  </si>
  <si>
    <t>Isurus paucus</t>
  </si>
  <si>
    <t>Galeocerdo cuvier</t>
  </si>
  <si>
    <t>Carcharhinus leucas</t>
  </si>
  <si>
    <t>Carcharhinus limbatus</t>
  </si>
  <si>
    <t>Carcharhinus plumbeus</t>
  </si>
  <si>
    <t>Carcharhinus obscurus</t>
  </si>
  <si>
    <t>Carcharhinus brevipinna</t>
  </si>
  <si>
    <t>Carcharhinus acronotus</t>
  </si>
  <si>
    <t>Carcharhinus falciformis</t>
  </si>
  <si>
    <t>Negaprion brevirostris</t>
  </si>
  <si>
    <t>Sphyrna lewini</t>
  </si>
  <si>
    <t>Sphyrna mokarran</t>
  </si>
  <si>
    <t>Both</t>
  </si>
  <si>
    <t>TL Estimate (mm)</t>
  </si>
  <si>
    <t>log IDD</t>
  </si>
  <si>
    <t>log TL (mm)</t>
  </si>
  <si>
    <t>Bite Circumference Estimates and Validations</t>
  </si>
  <si>
    <t>Interdental Distance Estimates and Validations</t>
  </si>
  <si>
    <t>TL Range in Regress</t>
  </si>
  <si>
    <t>Min</t>
  </si>
  <si>
    <t>Max</t>
  </si>
  <si>
    <t>IDD Range in Regress</t>
  </si>
  <si>
    <t>CIRC Range in Regress</t>
  </si>
  <si>
    <t>Max Validated</t>
  </si>
  <si>
    <t>TL (mm)</t>
  </si>
  <si>
    <t>TL (mm)*</t>
  </si>
  <si>
    <t>* All validated TL values were obtained from www.fishbase.org in November of 2008</t>
  </si>
  <si>
    <t>User Input</t>
  </si>
  <si>
    <t>Comments/Caveats*</t>
  </si>
  <si>
    <t>Upper Jaw Average Interdental Distance (mm)</t>
  </si>
  <si>
    <t>Lower Jaw Average Interdental Distance (mm)</t>
  </si>
  <si>
    <t>Both Jaws Average Interdental Distance (mm)</t>
  </si>
  <si>
    <t>Upper Jaw Bite Circumference (mm)</t>
  </si>
  <si>
    <t>Lower Jaw Bite Circumference (mm)</t>
  </si>
  <si>
    <t>Details of data collection for use with this file are contained in Lowry et al. (submitted to Marine Biology).  All available data from a single damaged object should be entered into the blue shaded cells.</t>
  </si>
  <si>
    <t>In brief, average interdental distance for each jaw is the average distance between punctures or the starting points of slashes on the object, in millimeters.</t>
  </si>
  <si>
    <t xml:space="preserve">Bite circumference is the distance along the arc of bite damage on the object, in millimeters, and will likely underestimate shark size unless the entire tooth-bearing portion of the jaw was used for biting. </t>
  </si>
  <si>
    <t>Interdental Distance Shark Size Estimator</t>
  </si>
  <si>
    <t>Bite Circumference Shark Size Estimator^</t>
  </si>
  <si>
    <t>^ See comment in row  3 above.</t>
  </si>
  <si>
    <t>https://doi.org/10.3354/meps14214</t>
  </si>
  <si>
    <t>Supplement to Aoki et al. (2023)</t>
  </si>
  <si>
    <t>Mar Ecol Prog Ser 703: 145–159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</si>
</sst>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i/>
      <sz val="17"/>
      <name val="Times New Roman"/>
      <family val="1"/>
    </font>
    <font>
      <i/>
      <sz val="12"/>
      <name val="Times New Roman"/>
      <family val="1"/>
    </font>
    <font>
      <sz val="10"/>
      <color indexed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/>
    <xf numFmtId="0" fontId="1" fillId="0" borderId="13" xfId="0" applyFont="1" applyBorder="1" applyAlignment="1">
      <alignment horizontal="right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2" fontId="1" fillId="0" borderId="19" xfId="0" applyNumberFormat="1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/>
    <xf numFmtId="0" fontId="1" fillId="0" borderId="20" xfId="0" applyFont="1" applyBorder="1"/>
    <xf numFmtId="0" fontId="1" fillId="0" borderId="21" xfId="0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Border="1"/>
    <xf numFmtId="3" fontId="5" fillId="0" borderId="0" xfId="0" applyNumberFormat="1" applyFont="1" applyAlignment="1">
      <alignment horizontal="center"/>
    </xf>
    <xf numFmtId="0" fontId="1" fillId="0" borderId="22" xfId="0" applyFont="1" applyBorder="1"/>
    <xf numFmtId="3" fontId="5" fillId="0" borderId="1" xfId="0" applyNumberFormat="1" applyFont="1" applyBorder="1" applyAlignment="1">
      <alignment horizontal="center"/>
    </xf>
    <xf numFmtId="0" fontId="1" fillId="0" borderId="21" xfId="0" applyFont="1" applyBorder="1"/>
    <xf numFmtId="0" fontId="1" fillId="0" borderId="26" xfId="0" applyFont="1" applyBorder="1" applyAlignment="1" applyProtection="1">
      <alignment horizontal="center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1" applyFont="1" applyAlignment="1" applyProtection="1">
      <alignment horizontal="center" vertical="center" shrinkToFi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rgb="FFFFFF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 2013–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i.org/10.3354/meps14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tabSelected="1" zoomScale="130" zoomScaleNormal="130" workbookViewId="0">
      <selection activeCell="A3" sqref="A3:H3"/>
    </sheetView>
  </sheetViews>
  <sheetFormatPr baseColWidth="10" defaultRowHeight="13" x14ac:dyDescent="0.15"/>
  <cols>
    <col min="1" max="16384" width="10.83203125" style="57"/>
  </cols>
  <sheetData>
    <row r="1" spans="1:8" s="58" customFormat="1" ht="40" customHeight="1" x14ac:dyDescent="0.15">
      <c r="A1" s="60" t="s">
        <v>47</v>
      </c>
      <c r="B1" s="60"/>
      <c r="C1" s="60"/>
      <c r="D1" s="60"/>
      <c r="E1" s="60"/>
      <c r="F1" s="60"/>
      <c r="G1" s="60"/>
      <c r="H1" s="60"/>
    </row>
    <row r="2" spans="1:8" s="59" customFormat="1" ht="40" customHeight="1" x14ac:dyDescent="0.15">
      <c r="A2" s="61" t="s">
        <v>48</v>
      </c>
      <c r="B2" s="61"/>
      <c r="C2" s="61"/>
      <c r="D2" s="61"/>
      <c r="E2" s="61"/>
      <c r="F2" s="61"/>
      <c r="G2" s="61"/>
      <c r="H2" s="61"/>
    </row>
    <row r="3" spans="1:8" ht="40" customHeight="1" x14ac:dyDescent="0.15">
      <c r="A3" s="62" t="s">
        <v>46</v>
      </c>
      <c r="B3" s="62"/>
      <c r="C3" s="62"/>
      <c r="D3" s="62"/>
      <c r="E3" s="62"/>
      <c r="F3" s="62"/>
      <c r="G3" s="62"/>
      <c r="H3" s="62"/>
    </row>
  </sheetData>
  <mergeCells count="3">
    <mergeCell ref="A1:H1"/>
    <mergeCell ref="A2:H2"/>
    <mergeCell ref="A3:H3"/>
  </mergeCells>
  <hyperlinks>
    <hyperlink ref="A3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zoomScaleNormal="100" workbookViewId="0">
      <selection activeCell="F10" sqref="F10"/>
    </sheetView>
  </sheetViews>
  <sheetFormatPr baseColWidth="10" defaultColWidth="9.1640625" defaultRowHeight="13" x14ac:dyDescent="0.15"/>
  <cols>
    <col min="1" max="1" width="21.1640625" style="1" customWidth="1"/>
    <col min="2" max="2" width="7.1640625" style="1" customWidth="1"/>
    <col min="3" max="3" width="14.33203125" style="1" bestFit="1" customWidth="1"/>
    <col min="4" max="4" width="36.83203125" style="1" bestFit="1" customWidth="1"/>
    <col min="5" max="5" width="6.5" style="1" customWidth="1"/>
    <col min="6" max="6" width="21.83203125" style="1" bestFit="1" customWidth="1"/>
    <col min="7" max="7" width="7.33203125" style="1" customWidth="1"/>
    <col min="8" max="8" width="14.33203125" style="1" bestFit="1" customWidth="1"/>
    <col min="9" max="9" width="36.6640625" style="1" bestFit="1" customWidth="1"/>
    <col min="10" max="16384" width="9.1640625" style="1"/>
  </cols>
  <sheetData>
    <row r="1" spans="1:9" x14ac:dyDescent="0.15">
      <c r="A1" s="1" t="s">
        <v>40</v>
      </c>
    </row>
    <row r="2" spans="1:9" x14ac:dyDescent="0.15">
      <c r="A2" s="1" t="s">
        <v>41</v>
      </c>
    </row>
    <row r="3" spans="1:9" x14ac:dyDescent="0.15">
      <c r="A3" s="1" t="s">
        <v>42</v>
      </c>
    </row>
    <row r="4" spans="1:9" ht="5.25" customHeight="1" thickBot="1" x14ac:dyDescent="0.2"/>
    <row r="5" spans="1:9" ht="29" thickBot="1" x14ac:dyDescent="0.2">
      <c r="D5" s="31"/>
      <c r="E5" s="51" t="s">
        <v>33</v>
      </c>
    </row>
    <row r="6" spans="1:9" x14ac:dyDescent="0.15">
      <c r="D6" s="32" t="s">
        <v>35</v>
      </c>
      <c r="E6" s="52"/>
    </row>
    <row r="7" spans="1:9" x14ac:dyDescent="0.15">
      <c r="D7" s="32" t="s">
        <v>36</v>
      </c>
      <c r="E7" s="53"/>
    </row>
    <row r="8" spans="1:9" x14ac:dyDescent="0.15">
      <c r="D8" s="32" t="s">
        <v>37</v>
      </c>
      <c r="E8" s="53"/>
    </row>
    <row r="9" spans="1:9" ht="6.75" customHeight="1" x14ac:dyDescent="0.15">
      <c r="D9" s="32"/>
      <c r="E9" s="53"/>
    </row>
    <row r="10" spans="1:9" x14ac:dyDescent="0.15">
      <c r="D10" s="32" t="s">
        <v>38</v>
      </c>
      <c r="E10" s="53"/>
    </row>
    <row r="11" spans="1:9" ht="14" thickBot="1" x14ac:dyDescent="0.2">
      <c r="D11" s="33" t="s">
        <v>39</v>
      </c>
      <c r="E11" s="54"/>
    </row>
    <row r="12" spans="1:9" ht="6.75" customHeight="1" x14ac:dyDescent="0.15">
      <c r="E12" s="8"/>
      <c r="F12" s="2"/>
    </row>
    <row r="13" spans="1:9" x14ac:dyDescent="0.15">
      <c r="A13" s="63" t="s">
        <v>43</v>
      </c>
      <c r="B13" s="64"/>
      <c r="C13" s="64"/>
      <c r="D13" s="65"/>
      <c r="E13" s="8"/>
      <c r="F13" s="63" t="s">
        <v>44</v>
      </c>
      <c r="G13" s="64"/>
      <c r="H13" s="64"/>
      <c r="I13" s="65"/>
    </row>
    <row r="14" spans="1:9" x14ac:dyDescent="0.15">
      <c r="A14" s="43" t="s">
        <v>0</v>
      </c>
      <c r="B14" s="44" t="s">
        <v>1</v>
      </c>
      <c r="C14" s="44" t="s">
        <v>19</v>
      </c>
      <c r="D14" s="45" t="s">
        <v>34</v>
      </c>
      <c r="F14" s="46" t="s">
        <v>0</v>
      </c>
      <c r="G14" s="44" t="s">
        <v>1</v>
      </c>
      <c r="H14" s="44" t="s">
        <v>19</v>
      </c>
      <c r="I14" s="45" t="s">
        <v>34</v>
      </c>
    </row>
    <row r="15" spans="1:9" x14ac:dyDescent="0.15">
      <c r="A15" s="34" t="s">
        <v>2</v>
      </c>
      <c r="B15" s="2" t="s">
        <v>3</v>
      </c>
      <c r="C15" s="47" t="e">
        <f>10^Validations!C12</f>
        <v>#NUM!</v>
      </c>
      <c r="D15" s="48" t="e">
        <f>IF(C15&gt;Validations!H12,"Exceeds maximum known TL",IF(C15&gt;Validations!G12,"Exceeds TL range regression is based on",IF(C15&gt;Validations!F12,"Within regression bounds","Below lowest TL value regression is based on")))</f>
        <v>#NUM!</v>
      </c>
      <c r="E15" s="56"/>
      <c r="F15" s="34" t="s">
        <v>2</v>
      </c>
      <c r="G15" s="2" t="s">
        <v>3</v>
      </c>
      <c r="H15" s="47" t="e">
        <f>10^Validations!L12</f>
        <v>#NUM!</v>
      </c>
      <c r="I15" s="48" t="e">
        <f>IF(H15&gt;Validations!Q12,"Exceeds maximum known TL",IF(H15&gt;Validations!P12,"Exceeds TL range regression is based on",IF(H15&gt;Validations!O12,"Within regression bounds","Below lowest TL value regression is based on")))</f>
        <v>#NUM!</v>
      </c>
    </row>
    <row r="16" spans="1:9" x14ac:dyDescent="0.15">
      <c r="A16" s="34"/>
      <c r="B16" s="2" t="s">
        <v>4</v>
      </c>
      <c r="C16" s="47" t="e">
        <f>10^Validations!C13</f>
        <v>#NUM!</v>
      </c>
      <c r="D16" s="48" t="e">
        <f>IF(C16&gt;Validations!H13,"Exceeds maximum known TL",IF(C16&gt;Validations!G13,"Exceeds TL range regression is based on",IF(C16&gt;Validations!F13,"Within regression bounds","Below lowest TL value regression is based on")))</f>
        <v>#NUM!</v>
      </c>
      <c r="F16" s="34"/>
      <c r="G16" s="2" t="s">
        <v>4</v>
      </c>
      <c r="H16" s="47" t="e">
        <f>10^Validations!L13</f>
        <v>#NUM!</v>
      </c>
      <c r="I16" s="48" t="e">
        <f>IF(H16&gt;Validations!Q13,"Exceeds maximum known TL",IF(H16&gt;Validations!P13,"Exceeds TL range regression is based on",IF(H16&gt;Validations!O13,"Within regression bounds","Below lowest TL value regression is based on")))</f>
        <v>#NUM!</v>
      </c>
    </row>
    <row r="17" spans="1:9" x14ac:dyDescent="0.15">
      <c r="A17" s="34" t="s">
        <v>5</v>
      </c>
      <c r="B17" s="2" t="s">
        <v>18</v>
      </c>
      <c r="C17" s="47" t="e">
        <f>10^Validations!C14</f>
        <v>#NUM!</v>
      </c>
      <c r="D17" s="48" t="e">
        <f>IF(C17&gt;Validations!H14,"Exceeds maximum known TL",IF(C17&gt;Validations!G14,"Exceeds TL range regression is based on",IF(C17&gt;Validations!F14,"Within regression bounds","Below lowest TL value regression is based on")))</f>
        <v>#NUM!</v>
      </c>
      <c r="F17" s="34" t="s">
        <v>5</v>
      </c>
      <c r="G17" s="2" t="s">
        <v>3</v>
      </c>
      <c r="H17" s="47" t="e">
        <f>10^Validations!L14</f>
        <v>#NUM!</v>
      </c>
      <c r="I17" s="48" t="e">
        <f>IF(H17&gt;Validations!Q14,"Exceeds maximum known TL",IF(H17&gt;Validations!P14,"Exceeds TL range regression is based on",IF(H17&gt;Validations!O14,"Within regression bounds","Below lowest TL value regression is based on")))</f>
        <v>#NUM!</v>
      </c>
    </row>
    <row r="18" spans="1:9" x14ac:dyDescent="0.15">
      <c r="A18" s="34" t="s">
        <v>6</v>
      </c>
      <c r="B18" s="2" t="s">
        <v>3</v>
      </c>
      <c r="C18" s="47" t="e">
        <f>10^Validations!C15</f>
        <v>#NUM!</v>
      </c>
      <c r="D18" s="48" t="e">
        <f>IF(C18&gt;Validations!H15,"Exceeds maximum known TL",IF(C18&gt;Validations!G15,"Exceeds TL range regression is based on",IF(C18&gt;Validations!F15,"Within regression bounds","Below lowest TL value regression is based on")))</f>
        <v>#NUM!</v>
      </c>
      <c r="F18" s="34"/>
      <c r="G18" s="2" t="s">
        <v>4</v>
      </c>
      <c r="H18" s="47" t="e">
        <f>10^Validations!L15</f>
        <v>#NUM!</v>
      </c>
      <c r="I18" s="48" t="e">
        <f>IF(H18&gt;Validations!Q15,"Exceeds maximum known TL",IF(H18&gt;Validations!P15,"Exceeds TL range regression is based on",IF(H18&gt;Validations!O15,"Within regression bounds","Below lowest TL value regression is based on")))</f>
        <v>#NUM!</v>
      </c>
    </row>
    <row r="19" spans="1:9" x14ac:dyDescent="0.15">
      <c r="A19" s="34"/>
      <c r="B19" s="2" t="s">
        <v>4</v>
      </c>
      <c r="C19" s="47" t="e">
        <f>10^Validations!C16</f>
        <v>#NUM!</v>
      </c>
      <c r="D19" s="48" t="e">
        <f>IF(C19&gt;Validations!H16,"Exceeds maximum known TL",IF(C19&gt;Validations!G16,"Exceeds TL range regression is based on",IF(C19&gt;Validations!F16,"Within regression bounds","Below lowest TL value regression is based on")))</f>
        <v>#NUM!</v>
      </c>
      <c r="F19" s="34" t="s">
        <v>6</v>
      </c>
      <c r="G19" s="2" t="s">
        <v>3</v>
      </c>
      <c r="H19" s="47" t="e">
        <f>10^Validations!L16</f>
        <v>#NUM!</v>
      </c>
      <c r="I19" s="48" t="e">
        <f>IF(H19&gt;Validations!Q16,"Exceeds maximum known TL",IF(H19&gt;Validations!P16,"Exceeds TL range regression is based on",IF(H19&gt;Validations!O16,"Within regression bounds","Below lowest TL value regression is based on")))</f>
        <v>#NUM!</v>
      </c>
    </row>
    <row r="20" spans="1:9" x14ac:dyDescent="0.15">
      <c r="A20" s="34" t="s">
        <v>7</v>
      </c>
      <c r="B20" s="2" t="s">
        <v>18</v>
      </c>
      <c r="C20" s="47" t="e">
        <f>10^Validations!C17</f>
        <v>#NUM!</v>
      </c>
      <c r="D20" s="48" t="e">
        <f>IF(C20&gt;Validations!H17,"Exceeds maximum known TL",IF(C20&gt;Validations!G17,"Exceeds TL range regression is based on",IF(C20&gt;Validations!F17,"Within regression bounds","Below lowest TL value regression is based on")))</f>
        <v>#NUM!</v>
      </c>
      <c r="F20" s="34"/>
      <c r="G20" s="2" t="s">
        <v>4</v>
      </c>
      <c r="H20" s="47" t="e">
        <f>10^Validations!L17</f>
        <v>#NUM!</v>
      </c>
      <c r="I20" s="48" t="e">
        <f>IF(H20&gt;Validations!Q17,"Exceeds maximum known TL",IF(H20&gt;Validations!P17,"Exceeds TL range regression is based on",IF(H20&gt;Validations!O17,"Within regression bounds","Below lowest TL value regression is based on")))</f>
        <v>#NUM!</v>
      </c>
    </row>
    <row r="21" spans="1:9" x14ac:dyDescent="0.15">
      <c r="A21" s="34" t="s">
        <v>8</v>
      </c>
      <c r="B21" s="2" t="s">
        <v>3</v>
      </c>
      <c r="C21" s="47" t="e">
        <f>10^Validations!C18</f>
        <v>#NUM!</v>
      </c>
      <c r="D21" s="48" t="e">
        <f>IF(C21&gt;Validations!H18,"Exceeds maximum known TL",IF(C21&gt;Validations!G18,"Exceeds TL range regression is based on",IF(C21&gt;Validations!F18,"Within regression bounds","Below lowest TL value regression is based on")))</f>
        <v>#NUM!</v>
      </c>
      <c r="F21" s="34" t="s">
        <v>7</v>
      </c>
      <c r="G21" s="2" t="s">
        <v>3</v>
      </c>
      <c r="H21" s="47" t="e">
        <f>10^Validations!L18</f>
        <v>#NUM!</v>
      </c>
      <c r="I21" s="48" t="e">
        <f>IF(H21&gt;Validations!Q18,"Exceeds maximum known TL",IF(H21&gt;Validations!P18,"Exceeds TL range regression is based on",IF(H21&gt;Validations!O18,"Within regression bounds","Below lowest TL value regression is based on")))</f>
        <v>#NUM!</v>
      </c>
    </row>
    <row r="22" spans="1:9" x14ac:dyDescent="0.15">
      <c r="A22" s="34"/>
      <c r="B22" s="2" t="s">
        <v>4</v>
      </c>
      <c r="C22" s="47" t="e">
        <f>10^Validations!C19</f>
        <v>#NUM!</v>
      </c>
      <c r="D22" s="48" t="e">
        <f>IF(C22&gt;Validations!H19,"Exceeds maximum known TL",IF(C22&gt;Validations!G19,"Exceeds TL range regression is based on",IF(C22&gt;Validations!F19,"Within regression bounds","Below lowest TL value regression is based on")))</f>
        <v>#NUM!</v>
      </c>
      <c r="F22" s="9"/>
      <c r="G22" s="2" t="s">
        <v>4</v>
      </c>
      <c r="H22" s="47" t="e">
        <f>10^Validations!L19</f>
        <v>#NUM!</v>
      </c>
      <c r="I22" s="48" t="e">
        <f>IF(H22&gt;Validations!Q19,"Exceeds maximum known TL",IF(H22&gt;Validations!P19,"Exceeds TL range regression is based on",IF(H22&gt;Validations!O19,"Within regression bounds","Below lowest TL value regression is based on")))</f>
        <v>#NUM!</v>
      </c>
    </row>
    <row r="23" spans="1:9" x14ac:dyDescent="0.15">
      <c r="A23" s="34" t="s">
        <v>9</v>
      </c>
      <c r="B23" s="2" t="s">
        <v>3</v>
      </c>
      <c r="C23" s="47" t="e">
        <f>10^Validations!C20</f>
        <v>#NUM!</v>
      </c>
      <c r="D23" s="48" t="e">
        <f>IF(C23&gt;Validations!H20,"Exceeds maximum known TL",IF(C23&gt;Validations!G20,"Exceeds TL range regression is based on",IF(C23&gt;Validations!F20,"Within regression bounds","Below lowest TL value regression is based on")))</f>
        <v>#NUM!</v>
      </c>
      <c r="F23" s="34" t="s">
        <v>8</v>
      </c>
      <c r="G23" s="2" t="s">
        <v>3</v>
      </c>
      <c r="H23" s="47" t="e">
        <f>10^Validations!L20</f>
        <v>#NUM!</v>
      </c>
      <c r="I23" s="48" t="e">
        <f>IF(H23&gt;Validations!Q20,"Exceeds maximum known TL",IF(H23&gt;Validations!P20,"Exceeds TL range regression is based on",IF(H23&gt;Validations!O20,"Within regression bounds","Below lowest TL value regression is based on")))</f>
        <v>#NUM!</v>
      </c>
    </row>
    <row r="24" spans="1:9" x14ac:dyDescent="0.15">
      <c r="A24" s="34"/>
      <c r="B24" s="2" t="s">
        <v>4</v>
      </c>
      <c r="C24" s="47" t="e">
        <f>10^Validations!C21</f>
        <v>#NUM!</v>
      </c>
      <c r="D24" s="48" t="e">
        <f>IF(C24&gt;Validations!H21,"Exceeds maximum known TL",IF(C24&gt;Validations!G21,"Exceeds TL range regression is based on",IF(C24&gt;Validations!F21,"Within regression bounds","Below lowest TL value regression is based on")))</f>
        <v>#NUM!</v>
      </c>
      <c r="F24" s="34"/>
      <c r="G24" s="2" t="s">
        <v>4</v>
      </c>
      <c r="H24" s="47" t="e">
        <f>10^Validations!L21</f>
        <v>#NUM!</v>
      </c>
      <c r="I24" s="48" t="e">
        <f>IF(H24&gt;Validations!Q21,"Exceeds maximum known TL",IF(H24&gt;Validations!P21,"Exceeds TL range regression is based on",IF(H24&gt;Validations!O21,"Within regression bounds","Below lowest TL value regression is based on")))</f>
        <v>#NUM!</v>
      </c>
    </row>
    <row r="25" spans="1:9" x14ac:dyDescent="0.15">
      <c r="A25" s="34" t="s">
        <v>10</v>
      </c>
      <c r="B25" s="2" t="s">
        <v>3</v>
      </c>
      <c r="C25" s="47" t="e">
        <f>10^Validations!C22</f>
        <v>#NUM!</v>
      </c>
      <c r="D25" s="48" t="e">
        <f>IF(C25&gt;Validations!H22,"Exceeds maximum known TL",IF(C25&gt;Validations!G22,"Exceeds TL range regression is based on",IF(C25&gt;Validations!F22,"Within regression bounds","Below lowest TL value regression is based on")))</f>
        <v>#NUM!</v>
      </c>
      <c r="F25" s="34" t="s">
        <v>9</v>
      </c>
      <c r="G25" s="2" t="s">
        <v>3</v>
      </c>
      <c r="H25" s="47" t="e">
        <f>10^Validations!L22</f>
        <v>#NUM!</v>
      </c>
      <c r="I25" s="48" t="e">
        <f>IF(H25&gt;Validations!Q22,"Exceeds maximum known TL",IF(H25&gt;Validations!P22,"Exceeds TL range regression is based on",IF(H25&gt;Validations!O22,"Within regression bounds","Below lowest TL value regression is based on")))</f>
        <v>#NUM!</v>
      </c>
    </row>
    <row r="26" spans="1:9" x14ac:dyDescent="0.15">
      <c r="A26" s="34"/>
      <c r="B26" s="2" t="s">
        <v>4</v>
      </c>
      <c r="C26" s="47" t="e">
        <f>10^Validations!C23</f>
        <v>#NUM!</v>
      </c>
      <c r="D26" s="48" t="e">
        <f>IF(C26&gt;Validations!H23,"Exceeds maximum known TL",IF(C26&gt;Validations!G23,"Exceeds TL range regression is based on",IF(C26&gt;Validations!F23,"Within regression bounds","Below lowest TL value regression is based on")))</f>
        <v>#NUM!</v>
      </c>
      <c r="F26" s="34"/>
      <c r="G26" s="2" t="s">
        <v>4</v>
      </c>
      <c r="H26" s="47" t="e">
        <f>10^Validations!L23</f>
        <v>#NUM!</v>
      </c>
      <c r="I26" s="48" t="e">
        <f>IF(H26&gt;Validations!Q23,"Exceeds maximum known TL",IF(H26&gt;Validations!P23,"Exceeds TL range regression is based on",IF(H26&gt;Validations!O23,"Within regression bounds","Below lowest TL value regression is based on")))</f>
        <v>#NUM!</v>
      </c>
    </row>
    <row r="27" spans="1:9" x14ac:dyDescent="0.15">
      <c r="A27" s="34" t="s">
        <v>11</v>
      </c>
      <c r="B27" s="2" t="s">
        <v>18</v>
      </c>
      <c r="C27" s="47" t="e">
        <f>10^Validations!C24</f>
        <v>#NUM!</v>
      </c>
      <c r="D27" s="48" t="e">
        <f>IF(C27&gt;Validations!H24,"Exceeds maximum known TL",IF(C27&gt;Validations!G24,"Exceeds TL range regression is based on",IF(C27&gt;Validations!F24,"Within regression bounds","Below lowest TL value regression is based on")))</f>
        <v>#NUM!</v>
      </c>
      <c r="F27" s="34" t="s">
        <v>10</v>
      </c>
      <c r="G27" s="2" t="s">
        <v>3</v>
      </c>
      <c r="H27" s="47" t="e">
        <f>10^Validations!L24</f>
        <v>#NUM!</v>
      </c>
      <c r="I27" s="48" t="e">
        <f>IF(H27&gt;Validations!Q24,"Exceeds maximum known TL",IF(H27&gt;Validations!P24,"Exceeds TL range regression is based on",IF(H27&gt;Validations!O24,"Within regression bounds","Below lowest TL value regression is based on")))</f>
        <v>#NUM!</v>
      </c>
    </row>
    <row r="28" spans="1:9" x14ac:dyDescent="0.15">
      <c r="A28" s="34" t="s">
        <v>12</v>
      </c>
      <c r="B28" s="2" t="s">
        <v>18</v>
      </c>
      <c r="C28" s="47" t="e">
        <f>10^Validations!C25</f>
        <v>#NUM!</v>
      </c>
      <c r="D28" s="48" t="e">
        <f>IF(C28&gt;Validations!H25,"Exceeds maximum known TL",IF(C28&gt;Validations!G25,"Exceeds TL range regression is based on",IF(C28&gt;Validations!F25,"Within regression bounds","Below lowest TL value regression is based on")))</f>
        <v>#NUM!</v>
      </c>
      <c r="F28" s="34"/>
      <c r="G28" s="2" t="s">
        <v>4</v>
      </c>
      <c r="H28" s="47" t="e">
        <f>10^Validations!L25</f>
        <v>#NUM!</v>
      </c>
      <c r="I28" s="48" t="e">
        <f>IF(H28&gt;Validations!Q25,"Exceeds maximum known TL",IF(H28&gt;Validations!P25,"Exceeds TL range regression is based on",IF(H28&gt;Validations!O25,"Within regression bounds","Below lowest TL value regression is based on")))</f>
        <v>#NUM!</v>
      </c>
    </row>
    <row r="29" spans="1:9" x14ac:dyDescent="0.15">
      <c r="A29" s="34" t="s">
        <v>13</v>
      </c>
      <c r="B29" s="2" t="s">
        <v>3</v>
      </c>
      <c r="C29" s="47" t="e">
        <f>10^Validations!C26</f>
        <v>#NUM!</v>
      </c>
      <c r="D29" s="48" t="e">
        <f>IF(C29&gt;Validations!H26,"Exceeds maximum known TL",IF(C29&gt;Validations!G26,"Exceeds TL range regression is based on",IF(C29&gt;Validations!F26,"Within regression bounds","Below lowest TL value regression is based on")))</f>
        <v>#NUM!</v>
      </c>
      <c r="F29" s="34" t="s">
        <v>14</v>
      </c>
      <c r="G29" s="2" t="s">
        <v>3</v>
      </c>
      <c r="H29" s="47" t="e">
        <f>10^Validations!L26</f>
        <v>#NUM!</v>
      </c>
      <c r="I29" s="48" t="e">
        <f>IF(H29&gt;Validations!Q26,"Exceeds maximum known TL",IF(H29&gt;Validations!P26,"Exceeds TL range regression is based on",IF(H29&gt;Validations!O26,"Within regression bounds","Below lowest TL value regression is based on")))</f>
        <v>#NUM!</v>
      </c>
    </row>
    <row r="30" spans="1:9" x14ac:dyDescent="0.15">
      <c r="A30" s="35"/>
      <c r="B30" s="3" t="s">
        <v>4</v>
      </c>
      <c r="C30" s="49" t="e">
        <f>10^Validations!C27</f>
        <v>#NUM!</v>
      </c>
      <c r="D30" s="50" t="e">
        <f>IF(C30&gt;Validations!H27,"Exceeds maximum known TL",IF(C30&gt;Validations!G27,"Exceeds TL range regression is based on",IF(C30&gt;Validations!F27,"Within regression bounds","Below lowest TL value regression is based on")))</f>
        <v>#NUM!</v>
      </c>
      <c r="F30" s="34"/>
      <c r="G30" s="2" t="s">
        <v>4</v>
      </c>
      <c r="H30" s="47" t="e">
        <f>10^Validations!L27</f>
        <v>#NUM!</v>
      </c>
      <c r="I30" s="48" t="e">
        <f>IF(H30&gt;Validations!Q27,"Exceeds maximum known TL",IF(H30&gt;Validations!P27,"Exceeds TL range regression is based on",IF(H30&gt;Validations!O27,"Within regression bounds","Below lowest TL value regression is based on")))</f>
        <v>#NUM!</v>
      </c>
    </row>
    <row r="31" spans="1:9" x14ac:dyDescent="0.15">
      <c r="F31" s="34" t="s">
        <v>11</v>
      </c>
      <c r="G31" s="2" t="s">
        <v>3</v>
      </c>
      <c r="H31" s="47" t="e">
        <f>10^Validations!L28</f>
        <v>#NUM!</v>
      </c>
      <c r="I31" s="48" t="e">
        <f>IF(H31&gt;Validations!Q28,"Exceeds maximum known TL",IF(H31&gt;Validations!P28,"Exceeds TL range regression is based on",IF(H31&gt;Validations!O28,"Within regression bounds","Below lowest TL value regression is based on")))</f>
        <v>#NUM!</v>
      </c>
    </row>
    <row r="32" spans="1:9" x14ac:dyDescent="0.15">
      <c r="A32" s="1" t="s">
        <v>32</v>
      </c>
      <c r="F32" s="34"/>
      <c r="G32" s="2" t="s">
        <v>4</v>
      </c>
      <c r="H32" s="47" t="e">
        <f>10^Validations!L29</f>
        <v>#NUM!</v>
      </c>
      <c r="I32" s="48" t="e">
        <f>IF(H32&gt;Validations!Q29,"Exceeds maximum known TL",IF(H32&gt;Validations!P29,"Exceeds TL range regression is based on",IF(H32&gt;Validations!O29,"Within regression bounds","Below lowest TL value regression is based on")))</f>
        <v>#NUM!</v>
      </c>
    </row>
    <row r="33" spans="4:9" x14ac:dyDescent="0.15">
      <c r="F33" s="34" t="s">
        <v>12</v>
      </c>
      <c r="G33" s="2" t="s">
        <v>3</v>
      </c>
      <c r="H33" s="47" t="e">
        <f>10^Validations!L30</f>
        <v>#NUM!</v>
      </c>
      <c r="I33" s="48" t="e">
        <f>IF(H33&gt;Validations!Q30,"Exceeds maximum known TL",IF(H33&gt;Validations!P30,"Exceeds TL range regression is based on",IF(H33&gt;Validations!O30,"Within regression bounds","Below lowest TL value regression is based on")))</f>
        <v>#NUM!</v>
      </c>
    </row>
    <row r="34" spans="4:9" x14ac:dyDescent="0.15">
      <c r="F34" s="34"/>
      <c r="G34" s="2" t="s">
        <v>4</v>
      </c>
      <c r="H34" s="47" t="e">
        <f>10^Validations!L31</f>
        <v>#NUM!</v>
      </c>
      <c r="I34" s="48" t="e">
        <f>IF(H34&gt;Validations!Q31,"Exceeds maximum known TL",IF(H34&gt;Validations!P31,"Exceeds TL range regression is based on",IF(H34&gt;Validations!O31,"Within regression bounds","Below lowest TL value regression is based on")))</f>
        <v>#NUM!</v>
      </c>
    </row>
    <row r="35" spans="4:9" x14ac:dyDescent="0.15">
      <c r="F35" s="34" t="s">
        <v>13</v>
      </c>
      <c r="G35" s="2" t="s">
        <v>3</v>
      </c>
      <c r="H35" s="47" t="e">
        <f>10^Validations!L32</f>
        <v>#NUM!</v>
      </c>
      <c r="I35" s="48" t="e">
        <f>IF(H35&gt;Validations!Q32,"Exceeds maximum known TL",IF(H35&gt;Validations!P32,"Exceeds TL range regression is based on",IF(H35&gt;Validations!O32,"Within regression bounds","Below lowest TL value regression is based on")))</f>
        <v>#NUM!</v>
      </c>
    </row>
    <row r="36" spans="4:9" x14ac:dyDescent="0.15">
      <c r="F36" s="34"/>
      <c r="G36" s="2" t="s">
        <v>4</v>
      </c>
      <c r="H36" s="47" t="e">
        <f>10^Validations!L33</f>
        <v>#NUM!</v>
      </c>
      <c r="I36" s="48" t="e">
        <f>IF(H36&gt;Validations!Q33,"Exceeds maximum known TL",IF(H36&gt;Validations!P33,"Exceeds TL range regression is based on",IF(H36&gt;Validations!O33,"Within regression bounds","Below lowest TL value regression is based on")))</f>
        <v>#NUM!</v>
      </c>
    </row>
    <row r="37" spans="4:9" x14ac:dyDescent="0.15">
      <c r="F37" s="34" t="s">
        <v>15</v>
      </c>
      <c r="G37" s="2" t="s">
        <v>3</v>
      </c>
      <c r="H37" s="47" t="e">
        <f>10^Validations!L34</f>
        <v>#NUM!</v>
      </c>
      <c r="I37" s="48" t="e">
        <f>IF(H37&gt;Validations!Q34,"Exceeds maximum known TL",IF(H37&gt;Validations!P34,"Exceeds TL range regression is based on",IF(H37&gt;Validations!O34,"Within regression bounds","Below lowest TL value regression is based on")))</f>
        <v>#NUM!</v>
      </c>
    </row>
    <row r="38" spans="4:9" x14ac:dyDescent="0.15">
      <c r="D38" s="56"/>
      <c r="F38" s="9"/>
      <c r="G38" s="2" t="s">
        <v>4</v>
      </c>
      <c r="H38" s="47" t="e">
        <f>10^Validations!L35</f>
        <v>#NUM!</v>
      </c>
      <c r="I38" s="48" t="e">
        <f>IF(H38&gt;Validations!Q35,"Exceeds maximum known TL",IF(H38&gt;Validations!P35,"Exceeds TL range regression is based on",IF(H38&gt;Validations!O35,"Within regression bounds","Below lowest TL value regression is based on")))</f>
        <v>#NUM!</v>
      </c>
    </row>
    <row r="39" spans="4:9" x14ac:dyDescent="0.15">
      <c r="F39" s="34" t="s">
        <v>16</v>
      </c>
      <c r="G39" s="2" t="s">
        <v>3</v>
      </c>
      <c r="H39" s="47" t="e">
        <f>10^Validations!L36</f>
        <v>#NUM!</v>
      </c>
      <c r="I39" s="48" t="e">
        <f>IF(H39&gt;Validations!Q36,"Exceeds maximum known TL",IF(H39&gt;Validations!P36,"Exceeds TL range regression is based on",IF(H39&gt;Validations!O36,"Within regression bounds","Below lowest TL value regression is based on")))</f>
        <v>#NUM!</v>
      </c>
    </row>
    <row r="40" spans="4:9" x14ac:dyDescent="0.15">
      <c r="F40" s="9"/>
      <c r="G40" s="2" t="s">
        <v>4</v>
      </c>
      <c r="H40" s="47" t="e">
        <f>10^Validations!L37</f>
        <v>#NUM!</v>
      </c>
      <c r="I40" s="48" t="e">
        <f>IF(H40&gt;Validations!Q37,"Exceeds maximum known TL",IF(H40&gt;Validations!P37,"Exceeds TL range regression is based on",IF(H40&gt;Validations!O37,"Within regression bounds","Below lowest TL value regression is based on")))</f>
        <v>#NUM!</v>
      </c>
    </row>
    <row r="41" spans="4:9" x14ac:dyDescent="0.15">
      <c r="F41" s="34" t="s">
        <v>17</v>
      </c>
      <c r="G41" s="2" t="s">
        <v>3</v>
      </c>
      <c r="H41" s="47" t="e">
        <f>10^Validations!L38</f>
        <v>#NUM!</v>
      </c>
      <c r="I41" s="48" t="e">
        <f>IF(H41&gt;Validations!Q38,"Exceeds maximum known TL",IF(H41&gt;Validations!P38,"Exceeds TL range regression is based on",IF(H41&gt;Validations!O38,"Within regression bounds","Below lowest TL value regression is based on")))</f>
        <v>#NUM!</v>
      </c>
    </row>
    <row r="42" spans="4:9" x14ac:dyDescent="0.15">
      <c r="F42" s="10"/>
      <c r="G42" s="3" t="s">
        <v>4</v>
      </c>
      <c r="H42" s="49" t="e">
        <f>10^Validations!L39</f>
        <v>#NUM!</v>
      </c>
      <c r="I42" s="50" t="e">
        <f>IF(H42&gt;Validations!Q39,"Exceeds maximum known TL",IF(H42&gt;Validations!P39,"Exceeds TL range regression is based on",IF(H42&gt;Validations!O39,"Within regression bounds","Below lowest TL value regression is based on")))</f>
        <v>#NUM!</v>
      </c>
    </row>
    <row r="43" spans="4:9" x14ac:dyDescent="0.15">
      <c r="F43" s="55" t="s">
        <v>45</v>
      </c>
    </row>
    <row r="44" spans="4:9" x14ac:dyDescent="0.15">
      <c r="F44" s="2"/>
    </row>
    <row r="45" spans="4:9" x14ac:dyDescent="0.15">
      <c r="F45" s="2"/>
    </row>
    <row r="46" spans="4:9" x14ac:dyDescent="0.15">
      <c r="F46" s="2"/>
    </row>
    <row r="47" spans="4:9" x14ac:dyDescent="0.15">
      <c r="F47" s="2"/>
    </row>
    <row r="48" spans="4:9" x14ac:dyDescent="0.15">
      <c r="F48" s="2"/>
    </row>
    <row r="49" spans="6:6" x14ac:dyDescent="0.15">
      <c r="F49" s="2"/>
    </row>
    <row r="50" spans="6:6" x14ac:dyDescent="0.15">
      <c r="F50" s="2"/>
    </row>
    <row r="51" spans="6:6" x14ac:dyDescent="0.15">
      <c r="F51" s="2"/>
    </row>
    <row r="52" spans="6:6" x14ac:dyDescent="0.15">
      <c r="F52" s="2"/>
    </row>
    <row r="53" spans="6:6" x14ac:dyDescent="0.15">
      <c r="F53" s="2"/>
    </row>
    <row r="54" spans="6:6" x14ac:dyDescent="0.15">
      <c r="F54" s="2"/>
    </row>
    <row r="55" spans="6:6" x14ac:dyDescent="0.15">
      <c r="F55" s="2"/>
    </row>
    <row r="56" spans="6:6" x14ac:dyDescent="0.15">
      <c r="F56" s="2"/>
    </row>
    <row r="57" spans="6:6" x14ac:dyDescent="0.15">
      <c r="F57" s="2"/>
    </row>
    <row r="58" spans="6:6" x14ac:dyDescent="0.15">
      <c r="F58" s="2"/>
    </row>
    <row r="59" spans="6:6" x14ac:dyDescent="0.15">
      <c r="F59" s="2"/>
    </row>
    <row r="60" spans="6:6" x14ac:dyDescent="0.15">
      <c r="F60" s="2"/>
    </row>
    <row r="61" spans="6:6" x14ac:dyDescent="0.15">
      <c r="F61" s="2"/>
    </row>
    <row r="62" spans="6:6" x14ac:dyDescent="0.15">
      <c r="F62" s="2"/>
    </row>
  </sheetData>
  <sheetProtection password="8D31" sheet="1"/>
  <mergeCells count="2">
    <mergeCell ref="A13:D13"/>
    <mergeCell ref="F13:I13"/>
  </mergeCells>
  <phoneticPr fontId="3" type="noConversion"/>
  <conditionalFormatting sqref="D15:D30 I15:I42">
    <cfRule type="containsText" dxfId="2" priority="1" stopIfTrue="1" operator="containsText" text="Within">
      <formula>NOT(ISERROR(SEARCH("Within",D15)))</formula>
    </cfRule>
    <cfRule type="containsText" dxfId="1" priority="2" stopIfTrue="1" operator="containsText" text="Below">
      <formula>NOT(ISERROR(SEARCH("Below",D15)))</formula>
    </cfRule>
    <cfRule type="containsText" dxfId="0" priority="3" stopIfTrue="1" operator="containsText" text="Exceeds">
      <formula>NOT(ISERROR(SEARCH("Exceeds",D15)))</formula>
    </cfRule>
  </conditionalFormatting>
  <pageMargins left="0.75" right="0.75" top="1" bottom="1" header="0.5" footer="0.5"/>
  <pageSetup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1"/>
  <sheetViews>
    <sheetView zoomScale="90" zoomScaleNormal="90" workbookViewId="0">
      <selection activeCell="H37" sqref="H37"/>
    </sheetView>
  </sheetViews>
  <sheetFormatPr baseColWidth="10" defaultColWidth="9.1640625" defaultRowHeight="13" x14ac:dyDescent="0.15"/>
  <cols>
    <col min="1" max="1" width="21.33203125" style="1" customWidth="1"/>
    <col min="2" max="2" width="6.6640625" style="1" customWidth="1"/>
    <col min="3" max="3" width="10.6640625" style="1" bestFit="1" customWidth="1"/>
    <col min="4" max="5" width="9.6640625" style="1" customWidth="1"/>
    <col min="6" max="7" width="9.1640625" style="1" customWidth="1"/>
    <col min="8" max="8" width="12.1640625" style="1" bestFit="1" customWidth="1"/>
    <col min="9" max="9" width="2" style="1" customWidth="1"/>
    <col min="10" max="10" width="21.83203125" style="1" bestFit="1" customWidth="1"/>
    <col min="11" max="11" width="9.1640625" style="1"/>
    <col min="12" max="12" width="11.5" style="1" customWidth="1"/>
    <col min="13" max="16" width="10.6640625" style="1" customWidth="1"/>
    <col min="17" max="17" width="12.1640625" style="1" bestFit="1" customWidth="1"/>
    <col min="18" max="16384" width="9.1640625" style="1"/>
  </cols>
  <sheetData>
    <row r="1" spans="1:17" ht="14" thickBot="1" x14ac:dyDescent="0.2">
      <c r="B1" s="28"/>
      <c r="C1" s="29"/>
      <c r="D1" s="29"/>
      <c r="E1" s="29"/>
      <c r="F1" s="30" t="s">
        <v>20</v>
      </c>
    </row>
    <row r="2" spans="1:17" x14ac:dyDescent="0.15">
      <c r="B2" s="17"/>
      <c r="C2" s="18"/>
      <c r="D2" s="18"/>
      <c r="E2" s="21" t="s">
        <v>35</v>
      </c>
      <c r="F2" s="25" t="e">
        <f>LOG(Calculator!E6)</f>
        <v>#NUM!</v>
      </c>
    </row>
    <row r="3" spans="1:17" x14ac:dyDescent="0.15">
      <c r="B3" s="19"/>
      <c r="E3" s="22" t="s">
        <v>36</v>
      </c>
      <c r="F3" s="26" t="e">
        <f>LOG(Calculator!E7)</f>
        <v>#NUM!</v>
      </c>
    </row>
    <row r="4" spans="1:17" x14ac:dyDescent="0.15">
      <c r="B4" s="19"/>
      <c r="E4" s="22" t="s">
        <v>37</v>
      </c>
      <c r="F4" s="26" t="e">
        <f>LOG(Calculator!E8)</f>
        <v>#NUM!</v>
      </c>
    </row>
    <row r="5" spans="1:17" ht="6.75" customHeight="1" x14ac:dyDescent="0.15">
      <c r="B5" s="19"/>
      <c r="E5" s="22"/>
      <c r="F5" s="26"/>
    </row>
    <row r="6" spans="1:17" x14ac:dyDescent="0.15">
      <c r="B6" s="19"/>
      <c r="E6" s="22" t="s">
        <v>38</v>
      </c>
      <c r="F6" s="26" t="e">
        <f>LOG(Calculator!E10)</f>
        <v>#NUM!</v>
      </c>
    </row>
    <row r="7" spans="1:17" ht="14" thickBot="1" x14ac:dyDescent="0.2">
      <c r="B7" s="20"/>
      <c r="C7" s="23"/>
      <c r="D7" s="23"/>
      <c r="E7" s="24" t="s">
        <v>39</v>
      </c>
      <c r="F7" s="27" t="e">
        <f>LOG(Calculator!E11)</f>
        <v>#NUM!</v>
      </c>
    </row>
    <row r="8" spans="1:17" x14ac:dyDescent="0.15">
      <c r="E8" s="8"/>
      <c r="F8" s="2"/>
    </row>
    <row r="9" spans="1:17" x14ac:dyDescent="0.15">
      <c r="A9" s="63" t="s">
        <v>23</v>
      </c>
      <c r="B9" s="64"/>
      <c r="C9" s="64"/>
      <c r="D9" s="64"/>
      <c r="E9" s="64"/>
      <c r="F9" s="64"/>
      <c r="G9" s="64"/>
      <c r="H9" s="65"/>
      <c r="J9" s="63" t="s">
        <v>22</v>
      </c>
      <c r="K9" s="64"/>
      <c r="L9" s="64"/>
      <c r="M9" s="64"/>
      <c r="N9" s="64"/>
      <c r="O9" s="64"/>
      <c r="P9" s="64"/>
      <c r="Q9" s="65"/>
    </row>
    <row r="10" spans="1:17" x14ac:dyDescent="0.15">
      <c r="A10" s="36"/>
      <c r="B10" s="12"/>
      <c r="C10" s="12"/>
      <c r="D10" s="66" t="s">
        <v>27</v>
      </c>
      <c r="E10" s="67"/>
      <c r="F10" s="67" t="s">
        <v>24</v>
      </c>
      <c r="G10" s="67"/>
      <c r="H10" s="37" t="s">
        <v>29</v>
      </c>
      <c r="J10" s="36"/>
      <c r="K10" s="12"/>
      <c r="L10" s="12"/>
      <c r="M10" s="66" t="s">
        <v>28</v>
      </c>
      <c r="N10" s="67"/>
      <c r="O10" s="67" t="s">
        <v>24</v>
      </c>
      <c r="P10" s="67"/>
      <c r="Q10" s="37" t="s">
        <v>29</v>
      </c>
    </row>
    <row r="11" spans="1:17" ht="14" x14ac:dyDescent="0.15">
      <c r="A11" s="10" t="s">
        <v>0</v>
      </c>
      <c r="B11" s="3" t="s">
        <v>1</v>
      </c>
      <c r="C11" s="3" t="s">
        <v>21</v>
      </c>
      <c r="D11" s="11" t="s">
        <v>25</v>
      </c>
      <c r="E11" s="3" t="s">
        <v>26</v>
      </c>
      <c r="F11" s="3" t="s">
        <v>25</v>
      </c>
      <c r="G11" s="3" t="s">
        <v>26</v>
      </c>
      <c r="H11" s="38" t="s">
        <v>31</v>
      </c>
      <c r="J11" s="10" t="s">
        <v>0</v>
      </c>
      <c r="K11" s="3" t="s">
        <v>1</v>
      </c>
      <c r="L11" s="3" t="s">
        <v>21</v>
      </c>
      <c r="M11" s="11" t="s">
        <v>25</v>
      </c>
      <c r="N11" s="3" t="s">
        <v>26</v>
      </c>
      <c r="O11" s="3" t="s">
        <v>25</v>
      </c>
      <c r="P11" s="3" t="s">
        <v>26</v>
      </c>
      <c r="Q11" s="38" t="s">
        <v>30</v>
      </c>
    </row>
    <row r="12" spans="1:17" x14ac:dyDescent="0.15">
      <c r="A12" s="34" t="s">
        <v>2</v>
      </c>
      <c r="B12" s="2" t="s">
        <v>3</v>
      </c>
      <c r="C12" s="5" t="e">
        <f>($F$2+2.062)/0.993</f>
        <v>#NUM!</v>
      </c>
      <c r="D12" s="15">
        <v>10.9</v>
      </c>
      <c r="E12" s="4">
        <v>48.9</v>
      </c>
      <c r="F12" s="2">
        <v>1245</v>
      </c>
      <c r="G12" s="2">
        <v>5632</v>
      </c>
      <c r="H12" s="39">
        <v>7920</v>
      </c>
      <c r="J12" s="34" t="s">
        <v>2</v>
      </c>
      <c r="K12" s="2" t="s">
        <v>3</v>
      </c>
      <c r="L12" s="5" t="e">
        <f>($F$6+0.8)/1.007</f>
        <v>#NUM!</v>
      </c>
      <c r="M12" s="13">
        <v>224</v>
      </c>
      <c r="N12" s="2">
        <v>990</v>
      </c>
      <c r="O12" s="2">
        <v>1245</v>
      </c>
      <c r="P12" s="2">
        <v>5632</v>
      </c>
      <c r="Q12" s="39">
        <v>7920</v>
      </c>
    </row>
    <row r="13" spans="1:17" x14ac:dyDescent="0.15">
      <c r="A13" s="34"/>
      <c r="B13" s="2" t="s">
        <v>4</v>
      </c>
      <c r="C13" s="5" t="e">
        <f>($F$3+1.79)/0.921</f>
        <v>#NUM!</v>
      </c>
      <c r="D13" s="15">
        <v>10.8</v>
      </c>
      <c r="E13" s="4">
        <v>47.2</v>
      </c>
      <c r="F13" s="2">
        <v>1245</v>
      </c>
      <c r="G13" s="2">
        <v>5632</v>
      </c>
      <c r="H13" s="39">
        <v>7920</v>
      </c>
      <c r="J13" s="34"/>
      <c r="K13" s="2" t="s">
        <v>4</v>
      </c>
      <c r="L13" s="5" t="e">
        <f>($F$7+0.743)/0.966</f>
        <v>#NUM!</v>
      </c>
      <c r="M13" s="14">
        <v>180</v>
      </c>
      <c r="N13" s="2">
        <v>760</v>
      </c>
      <c r="O13" s="2">
        <v>1245</v>
      </c>
      <c r="P13" s="2">
        <v>5632</v>
      </c>
      <c r="Q13" s="39">
        <v>7920</v>
      </c>
    </row>
    <row r="14" spans="1:17" x14ac:dyDescent="0.15">
      <c r="A14" s="34" t="s">
        <v>5</v>
      </c>
      <c r="B14" s="2" t="s">
        <v>18</v>
      </c>
      <c r="C14" s="5" t="e">
        <f>($F$4+1.802)/0.935</f>
        <v>#NUM!</v>
      </c>
      <c r="D14" s="15">
        <v>12.1</v>
      </c>
      <c r="E14" s="4">
        <v>31.5</v>
      </c>
      <c r="F14" s="2">
        <v>1360</v>
      </c>
      <c r="G14" s="2">
        <v>3200</v>
      </c>
      <c r="H14" s="39">
        <v>4000</v>
      </c>
      <c r="J14" s="34" t="s">
        <v>5</v>
      </c>
      <c r="K14" s="2" t="s">
        <v>3</v>
      </c>
      <c r="L14" s="5" t="e">
        <f>($F$6+0.778)/1.009</f>
        <v>#NUM!</v>
      </c>
      <c r="M14" s="14">
        <v>239</v>
      </c>
      <c r="N14" s="2">
        <v>580</v>
      </c>
      <c r="O14" s="2">
        <v>1360</v>
      </c>
      <c r="P14" s="2">
        <v>3200</v>
      </c>
      <c r="Q14" s="39">
        <v>4000</v>
      </c>
    </row>
    <row r="15" spans="1:17" x14ac:dyDescent="0.15">
      <c r="A15" s="34" t="s">
        <v>6</v>
      </c>
      <c r="B15" s="2" t="s">
        <v>3</v>
      </c>
      <c r="C15" s="5" t="e">
        <f>($F$2+1.714)/0.91</f>
        <v>#NUM!</v>
      </c>
      <c r="D15" s="15">
        <v>13.5</v>
      </c>
      <c r="E15" s="4">
        <v>36.799999999999997</v>
      </c>
      <c r="F15" s="2">
        <v>1261</v>
      </c>
      <c r="G15" s="2">
        <v>3848</v>
      </c>
      <c r="H15" s="39">
        <v>4170</v>
      </c>
      <c r="J15" s="34"/>
      <c r="K15" s="2" t="s">
        <v>4</v>
      </c>
      <c r="L15" s="5" t="e">
        <f>($F$7+0.571)/0.924</f>
        <v>#NUM!</v>
      </c>
      <c r="M15" s="14">
        <v>203</v>
      </c>
      <c r="N15" s="2">
        <v>505</v>
      </c>
      <c r="O15" s="2">
        <v>1360</v>
      </c>
      <c r="P15" s="2">
        <v>3200</v>
      </c>
      <c r="Q15" s="39">
        <v>4000</v>
      </c>
    </row>
    <row r="16" spans="1:17" x14ac:dyDescent="0.15">
      <c r="A16" s="34"/>
      <c r="B16" s="2" t="s">
        <v>4</v>
      </c>
      <c r="C16" s="5" t="e">
        <f>($F$3+1.888)/0.957</f>
        <v>#NUM!</v>
      </c>
      <c r="D16" s="15">
        <v>12.1</v>
      </c>
      <c r="E16" s="4">
        <v>36.9</v>
      </c>
      <c r="F16" s="2">
        <v>1261</v>
      </c>
      <c r="G16" s="2">
        <v>3848</v>
      </c>
      <c r="H16" s="39">
        <v>4170</v>
      </c>
      <c r="J16" s="34" t="s">
        <v>6</v>
      </c>
      <c r="K16" s="2" t="s">
        <v>3</v>
      </c>
      <c r="L16" s="5" t="e">
        <f>($F$6+0.601)/0.952</f>
        <v>#NUM!</v>
      </c>
      <c r="M16" s="14">
        <v>231</v>
      </c>
      <c r="N16" s="2">
        <v>645</v>
      </c>
      <c r="O16" s="2">
        <v>1261</v>
      </c>
      <c r="P16" s="2">
        <v>3848</v>
      </c>
      <c r="Q16" s="39">
        <v>4170</v>
      </c>
    </row>
    <row r="17" spans="1:17" x14ac:dyDescent="0.15">
      <c r="A17" s="34" t="s">
        <v>7</v>
      </c>
      <c r="B17" s="2" t="s">
        <v>18</v>
      </c>
      <c r="C17" s="5" t="e">
        <f>($F$4+2.565)/1.112</f>
        <v>#NUM!</v>
      </c>
      <c r="D17" s="15">
        <v>3.9</v>
      </c>
      <c r="E17" s="4">
        <v>25.8</v>
      </c>
      <c r="F17" s="2">
        <v>711</v>
      </c>
      <c r="G17" s="2">
        <v>3581</v>
      </c>
      <c r="H17" s="39">
        <v>7500</v>
      </c>
      <c r="J17" s="34"/>
      <c r="K17" s="2" t="s">
        <v>4</v>
      </c>
      <c r="L17" s="5" t="e">
        <f>($F$7+1.025)/1.052</f>
        <v>#NUM!</v>
      </c>
      <c r="M17" s="14">
        <v>174</v>
      </c>
      <c r="N17" s="2">
        <v>570</v>
      </c>
      <c r="O17" s="2">
        <v>1261</v>
      </c>
      <c r="P17" s="2">
        <v>3848</v>
      </c>
      <c r="Q17" s="39">
        <v>4170</v>
      </c>
    </row>
    <row r="18" spans="1:17" x14ac:dyDescent="0.15">
      <c r="A18" s="34" t="s">
        <v>8</v>
      </c>
      <c r="B18" s="2" t="s">
        <v>3</v>
      </c>
      <c r="C18" s="5" t="e">
        <f>($F$2+2.296)/1.03</f>
        <v>#NUM!</v>
      </c>
      <c r="D18" s="15">
        <v>7.7</v>
      </c>
      <c r="E18" s="4">
        <v>18.3</v>
      </c>
      <c r="F18" s="2">
        <v>1380</v>
      </c>
      <c r="G18" s="2">
        <v>2845</v>
      </c>
      <c r="H18" s="39">
        <v>3500</v>
      </c>
      <c r="J18" s="34" t="s">
        <v>7</v>
      </c>
      <c r="K18" s="2" t="s">
        <v>3</v>
      </c>
      <c r="L18" s="5" t="e">
        <f>($F$6+1.16)/1.087</f>
        <v>#NUM!</v>
      </c>
      <c r="M18" s="14">
        <v>98</v>
      </c>
      <c r="N18" s="2">
        <v>540</v>
      </c>
      <c r="O18" s="2">
        <v>711</v>
      </c>
      <c r="P18" s="2">
        <v>3581</v>
      </c>
      <c r="Q18" s="39">
        <v>7500</v>
      </c>
    </row>
    <row r="19" spans="1:17" x14ac:dyDescent="0.15">
      <c r="A19" s="34"/>
      <c r="B19" s="2" t="s">
        <v>4</v>
      </c>
      <c r="C19" s="5" t="e">
        <f>($F$3+1.987)/0.93</f>
        <v>#NUM!</v>
      </c>
      <c r="D19" s="15">
        <v>8</v>
      </c>
      <c r="E19" s="4">
        <v>7.4</v>
      </c>
      <c r="F19" s="2">
        <v>1380</v>
      </c>
      <c r="G19" s="2">
        <v>2845</v>
      </c>
      <c r="H19" s="39">
        <v>3500</v>
      </c>
      <c r="J19" s="9"/>
      <c r="K19" s="2" t="s">
        <v>4</v>
      </c>
      <c r="L19" s="5" t="e">
        <f>($F$7+1.209)/1.098</f>
        <v>#NUM!</v>
      </c>
      <c r="M19" s="14">
        <v>97</v>
      </c>
      <c r="N19" s="2">
        <v>532</v>
      </c>
      <c r="O19" s="2">
        <v>711</v>
      </c>
      <c r="P19" s="2">
        <v>3581</v>
      </c>
      <c r="Q19" s="39">
        <v>7500</v>
      </c>
    </row>
    <row r="20" spans="1:17" x14ac:dyDescent="0.15">
      <c r="A20" s="34" t="s">
        <v>9</v>
      </c>
      <c r="B20" s="2" t="s">
        <v>3</v>
      </c>
      <c r="C20" s="5" t="e">
        <f>($F$2+2.142)/0.952</f>
        <v>#NUM!</v>
      </c>
      <c r="D20" s="15">
        <v>3.6</v>
      </c>
      <c r="E20" s="4">
        <v>9.9</v>
      </c>
      <c r="F20" s="2">
        <v>780</v>
      </c>
      <c r="G20" s="2">
        <v>1935</v>
      </c>
      <c r="H20" s="39">
        <v>2750</v>
      </c>
      <c r="J20" s="34" t="s">
        <v>8</v>
      </c>
      <c r="K20" s="2" t="s">
        <v>3</v>
      </c>
      <c r="L20" s="5" t="e">
        <f>($F$6+0.964)/1.047</f>
        <v>#NUM!</v>
      </c>
      <c r="M20" s="14">
        <v>199</v>
      </c>
      <c r="N20" s="2">
        <v>443</v>
      </c>
      <c r="O20" s="2">
        <v>1380</v>
      </c>
      <c r="P20" s="2">
        <v>2845</v>
      </c>
      <c r="Q20" s="39">
        <v>3500</v>
      </c>
    </row>
    <row r="21" spans="1:17" x14ac:dyDescent="0.15">
      <c r="A21" s="34"/>
      <c r="B21" s="2" t="s">
        <v>4</v>
      </c>
      <c r="C21" s="5" t="e">
        <f>($F$3+1.792)/0.851</f>
        <v>#NUM!</v>
      </c>
      <c r="D21" s="15">
        <v>4.5999999999999996</v>
      </c>
      <c r="E21" s="4">
        <v>10.1</v>
      </c>
      <c r="F21" s="2">
        <v>780</v>
      </c>
      <c r="G21" s="2">
        <v>1935</v>
      </c>
      <c r="H21" s="39">
        <v>2750</v>
      </c>
      <c r="J21" s="34"/>
      <c r="K21" s="2" t="s">
        <v>4</v>
      </c>
      <c r="L21" s="5" t="e">
        <f>($F$7+1.203)/1.101</f>
        <v>#NUM!</v>
      </c>
      <c r="M21" s="14">
        <v>172</v>
      </c>
      <c r="N21" s="2">
        <v>389</v>
      </c>
      <c r="O21" s="2">
        <v>1380</v>
      </c>
      <c r="P21" s="2">
        <v>2845</v>
      </c>
      <c r="Q21" s="39">
        <v>3500</v>
      </c>
    </row>
    <row r="22" spans="1:17" x14ac:dyDescent="0.15">
      <c r="A22" s="34" t="s">
        <v>10</v>
      </c>
      <c r="B22" s="2" t="s">
        <v>3</v>
      </c>
      <c r="C22" s="5" t="e">
        <f>($F$2+2.415)/1.047</f>
        <v>#NUM!</v>
      </c>
      <c r="D22" s="15">
        <v>4.4000000000000004</v>
      </c>
      <c r="E22" s="4">
        <v>11.9</v>
      </c>
      <c r="F22" s="2">
        <v>868</v>
      </c>
      <c r="G22" s="2">
        <v>2120</v>
      </c>
      <c r="H22" s="39">
        <v>2500</v>
      </c>
      <c r="J22" s="34" t="s">
        <v>9</v>
      </c>
      <c r="K22" s="2" t="s">
        <v>3</v>
      </c>
      <c r="L22" s="5" t="e">
        <f>($F$6+0.435)/0.879</f>
        <v>#NUM!</v>
      </c>
      <c r="M22" s="14">
        <v>123</v>
      </c>
      <c r="N22" s="2">
        <v>285</v>
      </c>
      <c r="O22" s="2">
        <v>780</v>
      </c>
      <c r="P22" s="2">
        <v>1935</v>
      </c>
      <c r="Q22" s="39">
        <v>2750</v>
      </c>
    </row>
    <row r="23" spans="1:17" x14ac:dyDescent="0.15">
      <c r="A23" s="34"/>
      <c r="B23" s="2" t="s">
        <v>4</v>
      </c>
      <c r="C23" s="5" t="e">
        <f>($F$3+2.573)/1.089</f>
        <v>#NUM!</v>
      </c>
      <c r="D23" s="15">
        <v>4</v>
      </c>
      <c r="E23" s="4">
        <v>11.4</v>
      </c>
      <c r="F23" s="2">
        <v>868</v>
      </c>
      <c r="G23" s="2">
        <v>2120</v>
      </c>
      <c r="H23" s="39">
        <v>2500</v>
      </c>
      <c r="J23" s="34"/>
      <c r="K23" s="2" t="s">
        <v>4</v>
      </c>
      <c r="L23" s="5" t="e">
        <f>($F$7+0.305)/0.824</f>
        <v>#NUM!</v>
      </c>
      <c r="M23" s="14">
        <v>112</v>
      </c>
      <c r="N23" s="2">
        <v>260</v>
      </c>
      <c r="O23" s="2">
        <v>780</v>
      </c>
      <c r="P23" s="2">
        <v>1935</v>
      </c>
      <c r="Q23" s="39">
        <v>2750</v>
      </c>
    </row>
    <row r="24" spans="1:17" x14ac:dyDescent="0.15">
      <c r="A24" s="34" t="s">
        <v>11</v>
      </c>
      <c r="B24" s="2" t="s">
        <v>18</v>
      </c>
      <c r="C24" s="5" t="e">
        <f>($F$4+1.869)/0.863</f>
        <v>#NUM!</v>
      </c>
      <c r="D24" s="15">
        <v>7.1</v>
      </c>
      <c r="E24" s="4">
        <v>16.399999999999999</v>
      </c>
      <c r="F24" s="2">
        <v>1530</v>
      </c>
      <c r="G24" s="2">
        <v>3861</v>
      </c>
      <c r="H24" s="39">
        <v>4200</v>
      </c>
      <c r="J24" s="34" t="s">
        <v>10</v>
      </c>
      <c r="K24" s="2" t="s">
        <v>3</v>
      </c>
      <c r="L24" s="5" t="e">
        <f>($F$6+1.366)/1.163</f>
        <v>#NUM!</v>
      </c>
      <c r="M24" s="14">
        <v>110</v>
      </c>
      <c r="N24" s="2">
        <v>307</v>
      </c>
      <c r="O24" s="2">
        <v>868</v>
      </c>
      <c r="P24" s="2">
        <v>2120</v>
      </c>
      <c r="Q24" s="39">
        <v>2500</v>
      </c>
    </row>
    <row r="25" spans="1:17" x14ac:dyDescent="0.15">
      <c r="A25" s="34" t="s">
        <v>12</v>
      </c>
      <c r="B25" s="2" t="s">
        <v>18</v>
      </c>
      <c r="C25" s="5" t="e">
        <f>($F$4+1.545)/0.745</f>
        <v>#NUM!</v>
      </c>
      <c r="D25" s="15">
        <v>5.7</v>
      </c>
      <c r="E25" s="4">
        <v>9.6999999999999993</v>
      </c>
      <c r="F25" s="2">
        <v>1410</v>
      </c>
      <c r="G25" s="2">
        <v>2438</v>
      </c>
      <c r="H25" s="39">
        <v>3000</v>
      </c>
      <c r="J25" s="34"/>
      <c r="K25" s="2" t="s">
        <v>4</v>
      </c>
      <c r="L25" s="5" t="e">
        <f>($F$7+1.279)/1.122</f>
        <v>#NUM!</v>
      </c>
      <c r="M25" s="14">
        <v>102</v>
      </c>
      <c r="N25" s="2">
        <v>271</v>
      </c>
      <c r="O25" s="2">
        <v>868</v>
      </c>
      <c r="P25" s="2">
        <v>2120</v>
      </c>
      <c r="Q25" s="39">
        <v>2500</v>
      </c>
    </row>
    <row r="26" spans="1:17" x14ac:dyDescent="0.15">
      <c r="A26" s="34" t="s">
        <v>13</v>
      </c>
      <c r="B26" s="2" t="s">
        <v>3</v>
      </c>
      <c r="C26" s="5" t="e">
        <f>($F$2+1.676)/0.778</f>
        <v>#NUM!</v>
      </c>
      <c r="D26" s="15">
        <v>3.7</v>
      </c>
      <c r="E26" s="4">
        <v>6.5</v>
      </c>
      <c r="F26" s="2">
        <v>760</v>
      </c>
      <c r="G26" s="2">
        <v>1320</v>
      </c>
      <c r="H26" s="39">
        <v>2000</v>
      </c>
      <c r="J26" s="34" t="s">
        <v>14</v>
      </c>
      <c r="K26" s="2" t="s">
        <v>3</v>
      </c>
      <c r="L26" s="5" t="e">
        <f>($F$6+0.577)/0.9</f>
        <v>#NUM!</v>
      </c>
      <c r="M26" s="14">
        <v>96</v>
      </c>
      <c r="N26" s="2">
        <v>320</v>
      </c>
      <c r="O26" s="2">
        <v>735</v>
      </c>
      <c r="P26" s="2">
        <v>2650</v>
      </c>
      <c r="Q26" s="39">
        <v>3500</v>
      </c>
    </row>
    <row r="27" spans="1:17" x14ac:dyDescent="0.15">
      <c r="A27" s="35"/>
      <c r="B27" s="3" t="s">
        <v>4</v>
      </c>
      <c r="C27" s="6" t="e">
        <f>($F$3+2.353)/1.024</f>
        <v>#NUM!</v>
      </c>
      <c r="D27" s="16">
        <v>4</v>
      </c>
      <c r="E27" s="7">
        <v>7.8</v>
      </c>
      <c r="F27" s="3">
        <v>760</v>
      </c>
      <c r="G27" s="3">
        <v>1320</v>
      </c>
      <c r="H27" s="40">
        <v>2000</v>
      </c>
      <c r="J27" s="34"/>
      <c r="K27" s="2" t="s">
        <v>4</v>
      </c>
      <c r="L27" s="5" t="e">
        <f>($F$7+0.779)/0.952</f>
        <v>#NUM!</v>
      </c>
      <c r="M27" s="14">
        <v>85</v>
      </c>
      <c r="N27" s="2">
        <v>299</v>
      </c>
      <c r="O27" s="2">
        <v>735</v>
      </c>
      <c r="P27" s="2">
        <v>2650</v>
      </c>
      <c r="Q27" s="39">
        <v>3500</v>
      </c>
    </row>
    <row r="28" spans="1:17" x14ac:dyDescent="0.15">
      <c r="J28" s="34" t="s">
        <v>11</v>
      </c>
      <c r="K28" s="2" t="s">
        <v>3</v>
      </c>
      <c r="L28" s="5" t="e">
        <f>($F$6+0.629)/0.93</f>
        <v>#NUM!</v>
      </c>
      <c r="M28" s="14">
        <v>212</v>
      </c>
      <c r="N28" s="2">
        <v>465</v>
      </c>
      <c r="O28" s="2">
        <v>1530</v>
      </c>
      <c r="P28" s="2">
        <v>3861</v>
      </c>
      <c r="Q28" s="39">
        <v>4200</v>
      </c>
    </row>
    <row r="29" spans="1:17" x14ac:dyDescent="0.15">
      <c r="J29" s="34"/>
      <c r="K29" s="2" t="s">
        <v>4</v>
      </c>
      <c r="L29" s="5" t="e">
        <f>($F$7+0.687)/0.935</f>
        <v>#NUM!</v>
      </c>
      <c r="M29" s="14">
        <v>197</v>
      </c>
      <c r="N29" s="2">
        <v>435</v>
      </c>
      <c r="O29" s="2">
        <v>1530</v>
      </c>
      <c r="P29" s="2">
        <v>3861</v>
      </c>
      <c r="Q29" s="39">
        <v>4200</v>
      </c>
    </row>
    <row r="30" spans="1:17" x14ac:dyDescent="0.15">
      <c r="J30" s="34" t="s">
        <v>12</v>
      </c>
      <c r="K30" s="2" t="s">
        <v>3</v>
      </c>
      <c r="L30" s="5" t="e">
        <f>($F$6-0.159)/0.678</f>
        <v>#NUM!</v>
      </c>
      <c r="M30" s="14">
        <v>179</v>
      </c>
      <c r="N30" s="2">
        <v>282</v>
      </c>
      <c r="O30" s="2">
        <v>1410</v>
      </c>
      <c r="P30" s="2">
        <v>2438</v>
      </c>
      <c r="Q30" s="39">
        <v>3000</v>
      </c>
    </row>
    <row r="31" spans="1:17" x14ac:dyDescent="0.15">
      <c r="J31" s="34"/>
      <c r="K31" s="2" t="s">
        <v>4</v>
      </c>
      <c r="L31" s="5" t="e">
        <f>($F$7-0.056)/0.7</f>
        <v>#NUM!</v>
      </c>
      <c r="M31" s="14">
        <v>164</v>
      </c>
      <c r="N31" s="2">
        <v>267</v>
      </c>
      <c r="O31" s="2">
        <v>1410</v>
      </c>
      <c r="P31" s="2">
        <v>2438</v>
      </c>
      <c r="Q31" s="39">
        <v>3000</v>
      </c>
    </row>
    <row r="32" spans="1:17" x14ac:dyDescent="0.15">
      <c r="J32" s="34" t="s">
        <v>13</v>
      </c>
      <c r="K32" s="2" t="s">
        <v>3</v>
      </c>
      <c r="L32" s="5" t="e">
        <f>($F$6+1.345)/1.135</f>
        <v>#NUM!</v>
      </c>
      <c r="M32" s="14">
        <v>85</v>
      </c>
      <c r="N32" s="2">
        <v>161</v>
      </c>
      <c r="O32" s="2">
        <v>760</v>
      </c>
      <c r="P32" s="2">
        <v>1320</v>
      </c>
      <c r="Q32" s="39">
        <v>2000</v>
      </c>
    </row>
    <row r="33" spans="10:17" x14ac:dyDescent="0.15">
      <c r="J33" s="34"/>
      <c r="K33" s="2" t="s">
        <v>4</v>
      </c>
      <c r="L33" s="5" t="e">
        <f>($F$7+1.017)/1.019</f>
        <v>#NUM!</v>
      </c>
      <c r="M33" s="14">
        <v>81</v>
      </c>
      <c r="N33" s="2">
        <v>148</v>
      </c>
      <c r="O33" s="2">
        <v>760</v>
      </c>
      <c r="P33" s="2">
        <v>1320</v>
      </c>
      <c r="Q33" s="39">
        <v>2000</v>
      </c>
    </row>
    <row r="34" spans="10:17" x14ac:dyDescent="0.15">
      <c r="J34" s="34" t="s">
        <v>15</v>
      </c>
      <c r="K34" s="2" t="s">
        <v>3</v>
      </c>
      <c r="L34" s="5" t="e">
        <f>($F$6+0.736)/0.976</f>
        <v>#NUM!</v>
      </c>
      <c r="M34" s="14">
        <v>103</v>
      </c>
      <c r="N34" s="2">
        <v>406</v>
      </c>
      <c r="O34" s="2">
        <v>685</v>
      </c>
      <c r="P34" s="2">
        <v>2680</v>
      </c>
      <c r="Q34" s="41">
        <v>3400</v>
      </c>
    </row>
    <row r="35" spans="10:17" x14ac:dyDescent="0.15">
      <c r="J35" s="9"/>
      <c r="K35" s="2" t="s">
        <v>4</v>
      </c>
      <c r="L35" s="5" t="e">
        <f>($F$7+0.891)/1.011</f>
        <v>#NUM!</v>
      </c>
      <c r="M35" s="14">
        <v>93</v>
      </c>
      <c r="N35" s="2">
        <v>389</v>
      </c>
      <c r="O35" s="2">
        <v>685</v>
      </c>
      <c r="P35" s="2">
        <v>2680</v>
      </c>
      <c r="Q35" s="41">
        <v>3400</v>
      </c>
    </row>
    <row r="36" spans="10:17" x14ac:dyDescent="0.15">
      <c r="J36" s="34" t="s">
        <v>16</v>
      </c>
      <c r="K36" s="2" t="s">
        <v>3</v>
      </c>
      <c r="L36" s="5" t="e">
        <f>($F$6+0.61)/0.878</f>
        <v>#NUM!</v>
      </c>
      <c r="M36" s="14">
        <v>106</v>
      </c>
      <c r="N36" s="2">
        <v>298</v>
      </c>
      <c r="O36" s="2">
        <v>1000</v>
      </c>
      <c r="P36" s="2">
        <v>3260</v>
      </c>
      <c r="Q36" s="41">
        <v>4300</v>
      </c>
    </row>
    <row r="37" spans="10:17" x14ac:dyDescent="0.15">
      <c r="J37" s="9"/>
      <c r="K37" s="2" t="s">
        <v>4</v>
      </c>
      <c r="L37" s="5" t="e">
        <f>($F$7+0.708)/0.898</f>
        <v>#NUM!</v>
      </c>
      <c r="M37" s="14">
        <v>95</v>
      </c>
      <c r="N37" s="2">
        <v>281</v>
      </c>
      <c r="O37" s="2">
        <v>1000</v>
      </c>
      <c r="P37" s="2">
        <v>3260</v>
      </c>
      <c r="Q37" s="41">
        <v>4300</v>
      </c>
    </row>
    <row r="38" spans="10:17" x14ac:dyDescent="0.15">
      <c r="J38" s="34" t="s">
        <v>17</v>
      </c>
      <c r="K38" s="2" t="s">
        <v>3</v>
      </c>
      <c r="L38" s="5" t="e">
        <f>($F$6+1.78)/1.244</f>
        <v>#NUM!</v>
      </c>
      <c r="M38" s="14">
        <v>227</v>
      </c>
      <c r="N38" s="2">
        <v>582</v>
      </c>
      <c r="O38" s="2">
        <v>2050</v>
      </c>
      <c r="P38" s="2">
        <v>4140</v>
      </c>
      <c r="Q38" s="41">
        <v>6100</v>
      </c>
    </row>
    <row r="39" spans="10:17" x14ac:dyDescent="0.15">
      <c r="J39" s="10"/>
      <c r="K39" s="3" t="s">
        <v>4</v>
      </c>
      <c r="L39" s="6" t="e">
        <f>($F$7+1.832)/1.245</f>
        <v>#NUM!</v>
      </c>
      <c r="M39" s="11">
        <v>201</v>
      </c>
      <c r="N39" s="3">
        <v>504</v>
      </c>
      <c r="O39" s="3">
        <v>2050</v>
      </c>
      <c r="P39" s="3">
        <v>4140</v>
      </c>
      <c r="Q39" s="42">
        <v>6100</v>
      </c>
    </row>
    <row r="61" spans="1:1" x14ac:dyDescent="0.15">
      <c r="A61" s="1" t="s">
        <v>32</v>
      </c>
    </row>
  </sheetData>
  <sheetProtection password="F35D" sheet="1"/>
  <mergeCells count="6">
    <mergeCell ref="D10:E10"/>
    <mergeCell ref="F10:G10"/>
    <mergeCell ref="M10:N10"/>
    <mergeCell ref="O10:P10"/>
    <mergeCell ref="A9:H9"/>
    <mergeCell ref="J9:Q9"/>
  </mergeCells>
  <phoneticPr fontId="3" type="noConversion"/>
  <pageMargins left="0.75" right="0.75" top="1" bottom="1" header="0.5" footer="0.5"/>
  <pageSetup orientation="portrait" horizontalDpi="0" verticalDpi="0"/>
  <headerFooter alignWithMargins="0"/>
  <ignoredErrors>
    <ignoredError sqref="C20 C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Cover page</vt:lpstr>
      <vt:lpstr>Calculator</vt:lpstr>
      <vt:lpstr>Validations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Microsoft Office User</cp:lastModifiedBy>
  <dcterms:created xsi:type="dcterms:W3CDTF">2008-01-02T05:35:34Z</dcterms:created>
  <dcterms:modified xsi:type="dcterms:W3CDTF">2023-01-10T09:31:51Z</dcterms:modified>
</cp:coreProperties>
</file>